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drawings/drawing9.xml" ContentType="application/vnd.openxmlformats-officedocument.drawing+xml"/>
  <Override PartName="/xl/comments10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 codeName="{C80E003A-6C80-AF87-3323-10F97C11A349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eakin365-my.sharepoint.com/personal/m_marais_deakin_edu_au/Documents/"/>
    </mc:Choice>
  </mc:AlternateContent>
  <xr:revisionPtr revIDLastSave="0" documentId="8_{BD5BAD03-A522-784A-AD7A-851F9187C472}" xr6:coauthVersionLast="47" xr6:coauthVersionMax="47" xr10:uidLastSave="{00000000-0000-0000-0000-000000000000}"/>
  <bookViews>
    <workbookView xWindow="0" yWindow="0" windowWidth="28800" windowHeight="18000" activeTab="17" xr2:uid="{8B0940C7-7A27-46CE-9377-07C8EFCB8D60}"/>
  </bookViews>
  <sheets>
    <sheet name="Almonds Margin - Baseline" sheetId="1" state="hidden" r:id="rId1"/>
    <sheet name="Almonds Margin - Alter.Ex.Rate" sheetId="18" state="hidden" r:id="rId2"/>
    <sheet name="Almonds Margin - Alternative" sheetId="17" state="hidden" r:id="rId3"/>
    <sheet name="Grapes Margin - Baseline" sheetId="21" state="hidden" r:id="rId4"/>
    <sheet name="Grapes Margin - Alter.Ex.Rate" sheetId="23" state="hidden" r:id="rId5"/>
    <sheet name="Grapes Margin - Alternative" sheetId="22" state="hidden" r:id="rId6"/>
    <sheet name="Citrus Margin ORAG - Baseline" sheetId="42" state="hidden" r:id="rId7"/>
    <sheet name="Citrus Margin ORAG- Alternative" sheetId="49" state="hidden" r:id="rId8"/>
    <sheet name="Citrus Margin MAND - Baseline" sheetId="47" state="hidden" r:id="rId9"/>
    <sheet name="Citrus Margin MAND- Alternative" sheetId="52" state="hidden" r:id="rId10"/>
    <sheet name="graphs" sheetId="62" state="hidden" r:id="rId11"/>
    <sheet name="Citrus Margin - Alter.Ex.Ra" sheetId="44" state="hidden" r:id="rId12"/>
    <sheet name="Main Variables" sheetId="16" state="hidden" r:id="rId13"/>
    <sheet name="Introduction" sheetId="69" state="hidden" r:id="rId14"/>
    <sheet name="Almonds" sheetId="59" r:id="rId15"/>
    <sheet name="Grapes" sheetId="66" r:id="rId16"/>
    <sheet name="Oranges" sheetId="67" r:id="rId17"/>
    <sheet name="Mandarins" sheetId="68" r:id="rId18"/>
    <sheet name="Compiled Results" sheetId="38" state="hidden" r:id="rId19"/>
    <sheet name="Assumptions" sheetId="39" state="hidden" r:id="rId20"/>
    <sheet name="Data Sources" sheetId="40" state="hidden" r:id="rId21"/>
    <sheet name="Data List" sheetId="61" state="hidden" r:id="rId22"/>
  </sheets>
  <definedNames>
    <definedName name="var_crop" localSheetId="1">'Almonds Margin - Alter.Ex.Rate'!#REF!</definedName>
    <definedName name="var_crop" localSheetId="2">'Almonds Margin - Alternative'!#REF!</definedName>
    <definedName name="var_crop" localSheetId="0">'Almonds Margin - Baseline'!#REF!</definedName>
    <definedName name="var_crop" localSheetId="11">'Citrus Margin - Alter.Ex.Ra'!#REF!</definedName>
    <definedName name="var_crop" localSheetId="8">'Citrus Margin MAND - Baseline'!#REF!</definedName>
    <definedName name="var_crop" localSheetId="9">'Citrus Margin MAND- Alternative'!#REF!</definedName>
    <definedName name="var_crop" localSheetId="6">'Citrus Margin ORAG - Baseline'!#REF!</definedName>
    <definedName name="var_crop" localSheetId="7">'Citrus Margin ORAG- Alternative'!#REF!</definedName>
    <definedName name="var_crop" localSheetId="4">'Grapes Margin - Alter.Ex.Rate'!#REF!</definedName>
    <definedName name="var_crop" localSheetId="5">'Grapes Margin - Alternative'!#REF!</definedName>
    <definedName name="var_crop" localSheetId="3">'Grapes Margin - Baseline'!#REF!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7" i="52" l="1"/>
  <c r="AH7" i="52"/>
  <c r="L7" i="52"/>
  <c r="K7" i="52"/>
  <c r="F7" i="52"/>
  <c r="BB4" i="16" s="1"/>
  <c r="C7" i="52"/>
  <c r="C8" i="52" s="1"/>
  <c r="C9" i="52" s="1"/>
  <c r="C10" i="52" s="1"/>
  <c r="C11" i="52" s="1"/>
  <c r="C12" i="52" s="1"/>
  <c r="C13" i="52" s="1"/>
  <c r="C14" i="52" s="1"/>
  <c r="C15" i="52" s="1"/>
  <c r="C16" i="52" s="1"/>
  <c r="C17" i="52" s="1"/>
  <c r="C18" i="52" s="1"/>
  <c r="C19" i="52" s="1"/>
  <c r="C20" i="52" s="1"/>
  <c r="C21" i="52" s="1"/>
  <c r="C22" i="52" s="1"/>
  <c r="C23" i="52" s="1"/>
  <c r="C24" i="52" s="1"/>
  <c r="C25" i="52" s="1"/>
  <c r="C26" i="52" s="1"/>
  <c r="C27" i="52" s="1"/>
  <c r="C28" i="52" s="1"/>
  <c r="C29" i="52" s="1"/>
  <c r="C30" i="52" s="1"/>
  <c r="C31" i="52" s="1"/>
  <c r="C32" i="52" s="1"/>
  <c r="C33" i="52" s="1"/>
  <c r="C34" i="52" s="1"/>
  <c r="C35" i="52" s="1"/>
  <c r="C36" i="52" s="1"/>
  <c r="C37" i="52" s="1"/>
  <c r="C38" i="52" s="1"/>
  <c r="C39" i="52" s="1"/>
  <c r="C40" i="52" s="1"/>
  <c r="C41" i="52" s="1"/>
  <c r="AJ7" i="49"/>
  <c r="AI7" i="49"/>
  <c r="M7" i="49"/>
  <c r="L7" i="49"/>
  <c r="H7" i="49"/>
  <c r="H8" i="49" s="1"/>
  <c r="H9" i="49" s="1"/>
  <c r="H10" i="49" s="1"/>
  <c r="H11" i="49" s="1"/>
  <c r="H12" i="49" s="1"/>
  <c r="H13" i="49" s="1"/>
  <c r="H14" i="49" s="1"/>
  <c r="H15" i="49" s="1"/>
  <c r="H16" i="49" s="1"/>
  <c r="H17" i="49" s="1"/>
  <c r="H18" i="49" s="1"/>
  <c r="E7" i="49"/>
  <c r="O50" i="67"/>
  <c r="AN7" i="22"/>
  <c r="AM7" i="22"/>
  <c r="M7" i="22"/>
  <c r="L7" i="22"/>
  <c r="G7" i="22"/>
  <c r="F8" i="22"/>
  <c r="AC5" i="16" s="1"/>
  <c r="F9" i="22"/>
  <c r="AC6" i="16" s="1"/>
  <c r="F10" i="22"/>
  <c r="AC7" i="16" s="1"/>
  <c r="F11" i="22"/>
  <c r="AC8" i="16" s="1"/>
  <c r="F12" i="22"/>
  <c r="AC9" i="16" s="1"/>
  <c r="F13" i="22"/>
  <c r="AC10" i="16" s="1"/>
  <c r="F14" i="22"/>
  <c r="AC11" i="16" s="1"/>
  <c r="F15" i="22"/>
  <c r="AC12" i="16" s="1"/>
  <c r="F16" i="22"/>
  <c r="AC13" i="16" s="1"/>
  <c r="F17" i="22"/>
  <c r="AC14" i="16" s="1"/>
  <c r="F18" i="22"/>
  <c r="AC15" i="16" s="1"/>
  <c r="F19" i="22"/>
  <c r="AC16" i="16" s="1"/>
  <c r="F20" i="22"/>
  <c r="AC17" i="16" s="1"/>
  <c r="F21" i="22"/>
  <c r="AC18" i="16" s="1"/>
  <c r="F22" i="22"/>
  <c r="AC19" i="16" s="1"/>
  <c r="F23" i="22"/>
  <c r="AC20" i="16" s="1"/>
  <c r="F24" i="22"/>
  <c r="AC21" i="16" s="1"/>
  <c r="F25" i="22"/>
  <c r="AC22" i="16" s="1"/>
  <c r="F26" i="22"/>
  <c r="AC23" i="16" s="1"/>
  <c r="F27" i="22"/>
  <c r="AC24" i="16" s="1"/>
  <c r="F28" i="22"/>
  <c r="AC25" i="16" s="1"/>
  <c r="F29" i="22"/>
  <c r="AC26" i="16" s="1"/>
  <c r="F30" i="22"/>
  <c r="AC27" i="16" s="1"/>
  <c r="F31" i="22"/>
  <c r="AC28" i="16" s="1"/>
  <c r="F32" i="22"/>
  <c r="AC29" i="16" s="1"/>
  <c r="F33" i="22"/>
  <c r="AC30" i="16" s="1"/>
  <c r="F34" i="22"/>
  <c r="AC31" i="16" s="1"/>
  <c r="F35" i="22"/>
  <c r="AC32" i="16" s="1"/>
  <c r="F36" i="22"/>
  <c r="AC33" i="16" s="1"/>
  <c r="F37" i="22"/>
  <c r="F38" i="22"/>
  <c r="F39" i="22"/>
  <c r="F40" i="22"/>
  <c r="F41" i="22"/>
  <c r="F7" i="22"/>
  <c r="D7" i="22"/>
  <c r="C7" i="22"/>
  <c r="C8" i="22" s="1"/>
  <c r="C9" i="22" s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C30" i="22" s="1"/>
  <c r="C31" i="22" s="1"/>
  <c r="C32" i="22" s="1"/>
  <c r="C33" i="22" s="1"/>
  <c r="C34" i="22" s="1"/>
  <c r="C35" i="22" s="1"/>
  <c r="C36" i="22" s="1"/>
  <c r="C37" i="22" s="1"/>
  <c r="C38" i="22" s="1"/>
  <c r="C39" i="22" s="1"/>
  <c r="C40" i="22" s="1"/>
  <c r="C41" i="22" s="1"/>
  <c r="F15" i="68"/>
  <c r="F14" i="68"/>
  <c r="F9" i="68"/>
  <c r="F8" i="68" s="1"/>
  <c r="F15" i="67"/>
  <c r="F14" i="67"/>
  <c r="F9" i="67"/>
  <c r="F8" i="67" s="1"/>
  <c r="F15" i="66"/>
  <c r="F14" i="66"/>
  <c r="F9" i="66"/>
  <c r="F8" i="66" s="1"/>
  <c r="F16" i="59"/>
  <c r="F15" i="59"/>
  <c r="F10" i="59"/>
  <c r="F9" i="59"/>
  <c r="AW5" i="16"/>
  <c r="AW6" i="16"/>
  <c r="AW7" i="16"/>
  <c r="AW8" i="16"/>
  <c r="AW9" i="16"/>
  <c r="AW10" i="16"/>
  <c r="AW11" i="16"/>
  <c r="AW12" i="16"/>
  <c r="AW13" i="16"/>
  <c r="AW14" i="16"/>
  <c r="AW15" i="16"/>
  <c r="AW16" i="16"/>
  <c r="AW17" i="16"/>
  <c r="AW18" i="16"/>
  <c r="AW19" i="16"/>
  <c r="AW20" i="16"/>
  <c r="AW21" i="16"/>
  <c r="AW22" i="16"/>
  <c r="AW23" i="16"/>
  <c r="AW24" i="16"/>
  <c r="AW25" i="16"/>
  <c r="AW26" i="16"/>
  <c r="AW27" i="16"/>
  <c r="AW28" i="16"/>
  <c r="AW29" i="16"/>
  <c r="AW30" i="16"/>
  <c r="AW31" i="16"/>
  <c r="AW32" i="16"/>
  <c r="AW33" i="16"/>
  <c r="AW4" i="16"/>
  <c r="AZ5" i="16"/>
  <c r="AZ6" i="16"/>
  <c r="AZ7" i="16"/>
  <c r="AZ8" i="16"/>
  <c r="AZ9" i="16"/>
  <c r="AZ10" i="16"/>
  <c r="AZ11" i="16"/>
  <c r="AZ12" i="16"/>
  <c r="AZ13" i="16"/>
  <c r="AZ14" i="16"/>
  <c r="AZ15" i="16"/>
  <c r="AZ16" i="16"/>
  <c r="AZ17" i="16"/>
  <c r="AZ18" i="16"/>
  <c r="AZ19" i="16"/>
  <c r="AZ20" i="16"/>
  <c r="AZ21" i="16"/>
  <c r="AZ22" i="16"/>
  <c r="AZ23" i="16"/>
  <c r="AZ24" i="16"/>
  <c r="AZ25" i="16"/>
  <c r="AZ26" i="16"/>
  <c r="AZ27" i="16"/>
  <c r="AZ28" i="16"/>
  <c r="AZ29" i="16"/>
  <c r="AZ30" i="16"/>
  <c r="AZ31" i="16"/>
  <c r="AZ32" i="16"/>
  <c r="AZ33" i="16"/>
  <c r="AY5" i="16"/>
  <c r="AY6" i="16"/>
  <c r="AY7" i="16"/>
  <c r="AY8" i="16"/>
  <c r="AY9" i="16"/>
  <c r="AY10" i="16"/>
  <c r="AY11" i="16"/>
  <c r="AY12" i="16"/>
  <c r="AY13" i="16"/>
  <c r="AY14" i="16"/>
  <c r="AY15" i="16"/>
  <c r="AY16" i="16"/>
  <c r="AY17" i="16"/>
  <c r="AY18" i="16"/>
  <c r="AY19" i="16"/>
  <c r="AY20" i="16"/>
  <c r="AY21" i="16"/>
  <c r="AY22" i="16"/>
  <c r="AY23" i="16"/>
  <c r="AY24" i="16"/>
  <c r="AY25" i="16"/>
  <c r="AY26" i="16"/>
  <c r="AY27" i="16"/>
  <c r="AY28" i="16"/>
  <c r="AY29" i="16"/>
  <c r="AY30" i="16"/>
  <c r="AY31" i="16"/>
  <c r="AY32" i="16"/>
  <c r="AY33" i="16"/>
  <c r="AX5" i="16"/>
  <c r="AX6" i="16"/>
  <c r="AX7" i="16"/>
  <c r="AX8" i="16"/>
  <c r="AX9" i="16"/>
  <c r="AX10" i="16"/>
  <c r="AX11" i="16"/>
  <c r="AX12" i="16"/>
  <c r="AX13" i="16"/>
  <c r="AX14" i="16"/>
  <c r="AX15" i="16"/>
  <c r="AX16" i="16"/>
  <c r="AX17" i="16"/>
  <c r="AX18" i="16"/>
  <c r="AX19" i="16"/>
  <c r="AX20" i="16"/>
  <c r="AX21" i="16"/>
  <c r="AX22" i="16"/>
  <c r="AX23" i="16"/>
  <c r="AX24" i="16"/>
  <c r="AX25" i="16"/>
  <c r="AX26" i="16"/>
  <c r="AX27" i="16"/>
  <c r="AX28" i="16"/>
  <c r="AX29" i="16"/>
  <c r="AX30" i="16"/>
  <c r="AX31" i="16"/>
  <c r="AX32" i="16"/>
  <c r="AX33" i="16"/>
  <c r="AV5" i="16"/>
  <c r="AV6" i="16"/>
  <c r="AV7" i="16"/>
  <c r="AV8" i="16"/>
  <c r="AV9" i="16"/>
  <c r="AV10" i="16"/>
  <c r="AV11" i="16"/>
  <c r="AV12" i="16"/>
  <c r="AV13" i="16"/>
  <c r="AV14" i="16"/>
  <c r="AV15" i="16"/>
  <c r="AV16" i="16"/>
  <c r="AV17" i="16"/>
  <c r="AV18" i="16"/>
  <c r="AV19" i="16"/>
  <c r="AV20" i="16"/>
  <c r="AV21" i="16"/>
  <c r="AV22" i="16"/>
  <c r="AV23" i="16"/>
  <c r="AV24" i="16"/>
  <c r="AV25" i="16"/>
  <c r="AV26" i="16"/>
  <c r="AV27" i="16"/>
  <c r="AV28" i="16"/>
  <c r="AV29" i="16"/>
  <c r="AV30" i="16"/>
  <c r="AV31" i="16"/>
  <c r="AV32" i="16"/>
  <c r="AV33" i="16"/>
  <c r="AU5" i="16"/>
  <c r="AU6" i="16"/>
  <c r="AU7" i="16"/>
  <c r="AU8" i="16"/>
  <c r="AU9" i="16"/>
  <c r="AU10" i="16"/>
  <c r="AU11" i="16"/>
  <c r="AU12" i="16"/>
  <c r="AU13" i="16"/>
  <c r="AU14" i="16"/>
  <c r="AU15" i="16"/>
  <c r="AU16" i="16"/>
  <c r="AU17" i="16"/>
  <c r="AU18" i="16"/>
  <c r="AU19" i="16"/>
  <c r="AU20" i="16"/>
  <c r="AU21" i="16"/>
  <c r="AU22" i="16"/>
  <c r="AU23" i="16"/>
  <c r="AU24" i="16"/>
  <c r="AU25" i="16"/>
  <c r="AU26" i="16"/>
  <c r="AU27" i="16"/>
  <c r="AU28" i="16"/>
  <c r="AU29" i="16"/>
  <c r="AU30" i="16"/>
  <c r="AU31" i="16"/>
  <c r="AU32" i="16"/>
  <c r="AU33" i="16"/>
  <c r="AH4" i="16"/>
  <c r="F9" i="42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F21" i="42" s="1"/>
  <c r="F22" i="42" s="1"/>
  <c r="F23" i="42" s="1"/>
  <c r="F24" i="42" s="1"/>
  <c r="F25" i="42" s="1"/>
  <c r="F26" i="42" s="1"/>
  <c r="F27" i="42" s="1"/>
  <c r="F28" i="42" s="1"/>
  <c r="F29" i="42" s="1"/>
  <c r="F30" i="42" s="1"/>
  <c r="F31" i="42" s="1"/>
  <c r="F32" i="42" s="1"/>
  <c r="F33" i="42" s="1"/>
  <c r="F34" i="42" s="1"/>
  <c r="F35" i="42" s="1"/>
  <c r="F36" i="42" s="1"/>
  <c r="F37" i="42" s="1"/>
  <c r="F38" i="42" s="1"/>
  <c r="F39" i="42" s="1"/>
  <c r="F40" i="42" s="1"/>
  <c r="F41" i="42" s="1"/>
  <c r="F8" i="42"/>
  <c r="J41" i="62"/>
  <c r="J43" i="62"/>
  <c r="J42" i="62"/>
  <c r="K33" i="62"/>
  <c r="J33" i="62"/>
  <c r="K36" i="62"/>
  <c r="K35" i="62"/>
  <c r="K32" i="62"/>
  <c r="K31" i="62"/>
  <c r="K30" i="62"/>
  <c r="K29" i="62"/>
  <c r="K28" i="62"/>
  <c r="K27" i="62"/>
  <c r="K10" i="62"/>
  <c r="J10" i="62"/>
  <c r="J26" i="62"/>
  <c r="J36" i="62"/>
  <c r="J35" i="62"/>
  <c r="J34" i="62"/>
  <c r="J32" i="62"/>
  <c r="J31" i="62"/>
  <c r="J30" i="62"/>
  <c r="J29" i="62"/>
  <c r="J28" i="62"/>
  <c r="J27" i="62"/>
  <c r="J20" i="62"/>
  <c r="J19" i="62"/>
  <c r="J18" i="62"/>
  <c r="K13" i="62"/>
  <c r="K12" i="62"/>
  <c r="K9" i="62"/>
  <c r="K8" i="62"/>
  <c r="K7" i="62"/>
  <c r="K6" i="62"/>
  <c r="K5" i="62"/>
  <c r="K4" i="62"/>
  <c r="J13" i="62"/>
  <c r="J12" i="62"/>
  <c r="J11" i="62"/>
  <c r="J9" i="62"/>
  <c r="J8" i="62"/>
  <c r="J7" i="62"/>
  <c r="J6" i="62"/>
  <c r="J5" i="62"/>
  <c r="J4" i="62"/>
  <c r="J3" i="62"/>
  <c r="AZ7" i="22"/>
  <c r="G8" i="49"/>
  <c r="G9" i="49" s="1"/>
  <c r="G10" i="49" s="1"/>
  <c r="G11" i="49" s="1"/>
  <c r="G12" i="49" s="1"/>
  <c r="G13" i="49" s="1"/>
  <c r="G14" i="49" s="1"/>
  <c r="G15" i="49" s="1"/>
  <c r="G16" i="49" s="1"/>
  <c r="G17" i="49" s="1"/>
  <c r="G18" i="49" s="1"/>
  <c r="G19" i="49" s="1"/>
  <c r="G20" i="49" s="1"/>
  <c r="G21" i="49" s="1"/>
  <c r="G22" i="49" s="1"/>
  <c r="G23" i="49" s="1"/>
  <c r="G24" i="49" s="1"/>
  <c r="G25" i="49" s="1"/>
  <c r="G26" i="49" s="1"/>
  <c r="G27" i="49" s="1"/>
  <c r="G28" i="49" s="1"/>
  <c r="G29" i="49" s="1"/>
  <c r="G30" i="49" s="1"/>
  <c r="G31" i="49" s="1"/>
  <c r="G32" i="49" s="1"/>
  <c r="G33" i="49" s="1"/>
  <c r="G34" i="49" s="1"/>
  <c r="G35" i="49" s="1"/>
  <c r="G36" i="49" s="1"/>
  <c r="G37" i="49" s="1"/>
  <c r="G38" i="49" s="1"/>
  <c r="G39" i="49" s="1"/>
  <c r="G40" i="49" s="1"/>
  <c r="G41" i="49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6" i="1"/>
  <c r="W5" i="16"/>
  <c r="W6" i="16"/>
  <c r="W7" i="16"/>
  <c r="W8" i="16"/>
  <c r="W9" i="16"/>
  <c r="W10" i="16"/>
  <c r="W11" i="16"/>
  <c r="W12" i="16"/>
  <c r="W13" i="16"/>
  <c r="W14" i="16"/>
  <c r="W15" i="16"/>
  <c r="W16" i="16"/>
  <c r="W17" i="16"/>
  <c r="W18" i="16"/>
  <c r="W19" i="16"/>
  <c r="W20" i="16"/>
  <c r="W21" i="16"/>
  <c r="W22" i="16"/>
  <c r="W23" i="16"/>
  <c r="W24" i="16"/>
  <c r="W25" i="16"/>
  <c r="W26" i="16"/>
  <c r="W27" i="16"/>
  <c r="W28" i="16"/>
  <c r="W29" i="16"/>
  <c r="W30" i="16"/>
  <c r="W31" i="16"/>
  <c r="W32" i="16"/>
  <c r="W33" i="16"/>
  <c r="W4" i="16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8" i="21"/>
  <c r="AC4" i="16"/>
  <c r="D42" i="62"/>
  <c r="D41" i="62"/>
  <c r="D40" i="62"/>
  <c r="D35" i="62"/>
  <c r="D34" i="62"/>
  <c r="D33" i="62"/>
  <c r="D31" i="62"/>
  <c r="D30" i="62"/>
  <c r="D29" i="62"/>
  <c r="D28" i="62"/>
  <c r="D27" i="62"/>
  <c r="D26" i="62"/>
  <c r="BM7" i="17"/>
  <c r="D7" i="17"/>
  <c r="H7" i="17"/>
  <c r="K4" i="16" s="1"/>
  <c r="E7" i="17"/>
  <c r="D14" i="62"/>
  <c r="H4" i="16"/>
  <c r="BL5" i="1"/>
  <c r="AO7" i="17"/>
  <c r="AN7" i="17"/>
  <c r="N7" i="17"/>
  <c r="M7" i="17"/>
  <c r="B7" i="17"/>
  <c r="B8" i="49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0" i="49" s="1"/>
  <c r="B41" i="49" s="1"/>
  <c r="H19" i="49" l="1"/>
  <c r="H20" i="49" s="1"/>
  <c r="H21" i="49" s="1"/>
  <c r="H22" i="49" s="1"/>
  <c r="H23" i="49" s="1"/>
  <c r="H24" i="49" s="1"/>
  <c r="AC18" i="49"/>
  <c r="AC15" i="49"/>
  <c r="AC13" i="49"/>
  <c r="AC12" i="49"/>
  <c r="AC11" i="49"/>
  <c r="AC10" i="49"/>
  <c r="AC9" i="49"/>
  <c r="AC8" i="49"/>
  <c r="AC17" i="49"/>
  <c r="AC16" i="49"/>
  <c r="AC14" i="49"/>
  <c r="BA4" i="16"/>
  <c r="AW7" i="52"/>
  <c r="AB7" i="52"/>
  <c r="AN7" i="52"/>
  <c r="I7" i="52"/>
  <c r="BC4" i="16" s="1"/>
  <c r="F8" i="52"/>
  <c r="AB8" i="52" s="1"/>
  <c r="AO4" i="16"/>
  <c r="AO11" i="16"/>
  <c r="AO10" i="16"/>
  <c r="AO9" i="16"/>
  <c r="AO8" i="16"/>
  <c r="AO7" i="16"/>
  <c r="AO6" i="16"/>
  <c r="AO5" i="16"/>
  <c r="AO15" i="16"/>
  <c r="AO14" i="16"/>
  <c r="AO13" i="16"/>
  <c r="AO12" i="16"/>
  <c r="J37" i="62"/>
  <c r="J14" i="62"/>
  <c r="H40" i="17"/>
  <c r="H12" i="17"/>
  <c r="H26" i="17"/>
  <c r="H10" i="17"/>
  <c r="H37" i="17"/>
  <c r="H23" i="17"/>
  <c r="H11" i="17"/>
  <c r="H24" i="17"/>
  <c r="H36" i="17"/>
  <c r="H22" i="17"/>
  <c r="H35" i="17"/>
  <c r="H19" i="17"/>
  <c r="H38" i="17"/>
  <c r="H34" i="17"/>
  <c r="H18" i="17"/>
  <c r="H39" i="17"/>
  <c r="H31" i="17"/>
  <c r="H17" i="17"/>
  <c r="H30" i="17"/>
  <c r="H16" i="17"/>
  <c r="H29" i="17"/>
  <c r="H15" i="17"/>
  <c r="H25" i="17"/>
  <c r="H8" i="17"/>
  <c r="H28" i="17"/>
  <c r="H14" i="17"/>
  <c r="H41" i="17"/>
  <c r="H27" i="17"/>
  <c r="H13" i="17"/>
  <c r="H33" i="17"/>
  <c r="H21" i="17"/>
  <c r="H9" i="17"/>
  <c r="H32" i="17"/>
  <c r="H20" i="17"/>
  <c r="J7" i="49"/>
  <c r="K18" i="62" s="1"/>
  <c r="E8" i="49"/>
  <c r="E9" i="49" s="1"/>
  <c r="E10" i="49" s="1"/>
  <c r="AC19" i="49" l="1"/>
  <c r="AC20" i="49"/>
  <c r="AO16" i="16"/>
  <c r="AO20" i="16"/>
  <c r="AC22" i="49"/>
  <c r="AC23" i="49"/>
  <c r="AO18" i="16"/>
  <c r="H25" i="49"/>
  <c r="AC24" i="49"/>
  <c r="AO19" i="16"/>
  <c r="AO21" i="16"/>
  <c r="AO17" i="16"/>
  <c r="AC21" i="49"/>
  <c r="BA5" i="16"/>
  <c r="BB5" i="16"/>
  <c r="AW8" i="52"/>
  <c r="AN8" i="52"/>
  <c r="BA6" i="16"/>
  <c r="I8" i="52"/>
  <c r="BC5" i="16" s="1"/>
  <c r="BA7" i="16"/>
  <c r="F9" i="52"/>
  <c r="K18" i="16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7" i="22"/>
  <c r="X4" i="16"/>
  <c r="V4" i="16"/>
  <c r="AZ4" i="16"/>
  <c r="AY4" i="16"/>
  <c r="AX4" i="16"/>
  <c r="AV4" i="16"/>
  <c r="AU4" i="16"/>
  <c r="AN4" i="16"/>
  <c r="AI4" i="16"/>
  <c r="U4" i="16"/>
  <c r="S4" i="16"/>
  <c r="D4" i="16"/>
  <c r="R4" i="16"/>
  <c r="B4" i="16"/>
  <c r="I4" i="16"/>
  <c r="BM7" i="52"/>
  <c r="K41" i="62"/>
  <c r="BC7" i="47"/>
  <c r="BC7" i="42"/>
  <c r="E41" i="52"/>
  <c r="E21" i="52"/>
  <c r="BH11" i="52"/>
  <c r="BH12" i="52" s="1"/>
  <c r="BH13" i="52" s="1"/>
  <c r="BH14" i="52" s="1"/>
  <c r="BH15" i="52" s="1"/>
  <c r="BH16" i="52" s="1"/>
  <c r="BH17" i="52" s="1"/>
  <c r="BH18" i="52" s="1"/>
  <c r="BH19" i="52" s="1"/>
  <c r="BH20" i="52" s="1"/>
  <c r="BH21" i="52" s="1"/>
  <c r="BH22" i="52" s="1"/>
  <c r="BH23" i="52" s="1"/>
  <c r="BH24" i="52" s="1"/>
  <c r="BH25" i="52" s="1"/>
  <c r="BH26" i="52" s="1"/>
  <c r="BH27" i="52" s="1"/>
  <c r="BH28" i="52" s="1"/>
  <c r="BH29" i="52" s="1"/>
  <c r="BH30" i="52" s="1"/>
  <c r="BH31" i="52" s="1"/>
  <c r="BH32" i="52" s="1"/>
  <c r="BH33" i="52" s="1"/>
  <c r="BH34" i="52" s="1"/>
  <c r="BH35" i="52" s="1"/>
  <c r="BH36" i="52" s="1"/>
  <c r="BH37" i="52" s="1"/>
  <c r="BH38" i="52" s="1"/>
  <c r="BH39" i="52" s="1"/>
  <c r="BH40" i="52" s="1"/>
  <c r="BH41" i="52" s="1"/>
  <c r="BI8" i="52"/>
  <c r="BI9" i="52" s="1"/>
  <c r="BI10" i="52" s="1"/>
  <c r="BI11" i="52" s="1"/>
  <c r="BI12" i="52" s="1"/>
  <c r="BI13" i="52" s="1"/>
  <c r="BI14" i="52" s="1"/>
  <c r="BI15" i="52" s="1"/>
  <c r="BI16" i="52" s="1"/>
  <c r="BI17" i="52" s="1"/>
  <c r="BI18" i="52" s="1"/>
  <c r="BI19" i="52" s="1"/>
  <c r="BI20" i="52" s="1"/>
  <c r="BI21" i="52" s="1"/>
  <c r="BI22" i="52" s="1"/>
  <c r="BI23" i="52" s="1"/>
  <c r="BI24" i="52" s="1"/>
  <c r="BI25" i="52" s="1"/>
  <c r="BI26" i="52" s="1"/>
  <c r="BI27" i="52" s="1"/>
  <c r="BI28" i="52" s="1"/>
  <c r="BI29" i="52" s="1"/>
  <c r="BI30" i="52" s="1"/>
  <c r="BI31" i="52" s="1"/>
  <c r="BI32" i="52" s="1"/>
  <c r="BI33" i="52" s="1"/>
  <c r="BI34" i="52" s="1"/>
  <c r="BI35" i="52" s="1"/>
  <c r="BI36" i="52" s="1"/>
  <c r="BI37" i="52" s="1"/>
  <c r="BI38" i="52" s="1"/>
  <c r="BI39" i="52" s="1"/>
  <c r="BI40" i="52" s="1"/>
  <c r="BI41" i="52" s="1"/>
  <c r="AS8" i="52"/>
  <c r="AS9" i="52" s="1"/>
  <c r="AS10" i="52" s="1"/>
  <c r="AP8" i="52"/>
  <c r="AJ8" i="52"/>
  <c r="AJ9" i="52" s="1"/>
  <c r="AJ10" i="52" s="1"/>
  <c r="AH8" i="52"/>
  <c r="AH9" i="52" s="1"/>
  <c r="AH10" i="52" s="1"/>
  <c r="AD8" i="52"/>
  <c r="AD9" i="52" s="1"/>
  <c r="X8" i="52"/>
  <c r="W8" i="52"/>
  <c r="W9" i="52" s="1"/>
  <c r="T8" i="52"/>
  <c r="T9" i="52" s="1"/>
  <c r="T10" i="52" s="1"/>
  <c r="T11" i="52" s="1"/>
  <c r="T12" i="52" s="1"/>
  <c r="T13" i="52" s="1"/>
  <c r="T14" i="52" s="1"/>
  <c r="T15" i="52" s="1"/>
  <c r="T16" i="52" s="1"/>
  <c r="T17" i="52" s="1"/>
  <c r="T18" i="52" s="1"/>
  <c r="T19" i="52" s="1"/>
  <c r="T20" i="52" s="1"/>
  <c r="T21" i="52" s="1"/>
  <c r="T22" i="52" s="1"/>
  <c r="T23" i="52" s="1"/>
  <c r="T24" i="52" s="1"/>
  <c r="T25" i="52" s="1"/>
  <c r="T26" i="52" s="1"/>
  <c r="T27" i="52" s="1"/>
  <c r="T28" i="52" s="1"/>
  <c r="T29" i="52" s="1"/>
  <c r="T30" i="52" s="1"/>
  <c r="T31" i="52" s="1"/>
  <c r="T32" i="52" s="1"/>
  <c r="T33" i="52" s="1"/>
  <c r="T34" i="52" s="1"/>
  <c r="T35" i="52" s="1"/>
  <c r="T36" i="52" s="1"/>
  <c r="T37" i="52" s="1"/>
  <c r="T38" i="52" s="1"/>
  <c r="T39" i="52" s="1"/>
  <c r="T40" i="52" s="1"/>
  <c r="T41" i="52" s="1"/>
  <c r="S8" i="52"/>
  <c r="S9" i="52" s="1"/>
  <c r="S10" i="52" s="1"/>
  <c r="P8" i="52"/>
  <c r="P9" i="52" s="1"/>
  <c r="P10" i="52" s="1"/>
  <c r="P11" i="52" s="1"/>
  <c r="P12" i="52" s="1"/>
  <c r="P13" i="52" s="1"/>
  <c r="P14" i="52" s="1"/>
  <c r="P15" i="52" s="1"/>
  <c r="P16" i="52" s="1"/>
  <c r="P17" i="52" s="1"/>
  <c r="P18" i="52" s="1"/>
  <c r="P19" i="52" s="1"/>
  <c r="P20" i="52" s="1"/>
  <c r="P21" i="52" s="1"/>
  <c r="P22" i="52" s="1"/>
  <c r="P23" i="52" s="1"/>
  <c r="P24" i="52" s="1"/>
  <c r="P25" i="52" s="1"/>
  <c r="P26" i="52" s="1"/>
  <c r="P27" i="52" s="1"/>
  <c r="P28" i="52" s="1"/>
  <c r="P29" i="52" s="1"/>
  <c r="P30" i="52" s="1"/>
  <c r="P31" i="52" s="1"/>
  <c r="P32" i="52" s="1"/>
  <c r="P33" i="52" s="1"/>
  <c r="P34" i="52" s="1"/>
  <c r="P35" i="52" s="1"/>
  <c r="P36" i="52" s="1"/>
  <c r="P37" i="52" s="1"/>
  <c r="P38" i="52" s="1"/>
  <c r="P39" i="52" s="1"/>
  <c r="P40" i="52" s="1"/>
  <c r="P41" i="52" s="1"/>
  <c r="O8" i="52"/>
  <c r="L8" i="52"/>
  <c r="L9" i="52" s="1"/>
  <c r="L10" i="52" s="1"/>
  <c r="L11" i="52" s="1"/>
  <c r="L12" i="52" s="1"/>
  <c r="L13" i="52" s="1"/>
  <c r="L14" i="52" s="1"/>
  <c r="L15" i="52" s="1"/>
  <c r="L16" i="52" s="1"/>
  <c r="L17" i="52" s="1"/>
  <c r="L18" i="52" s="1"/>
  <c r="L19" i="52" s="1"/>
  <c r="L20" i="52" s="1"/>
  <c r="L21" i="52" s="1"/>
  <c r="L22" i="52" s="1"/>
  <c r="L23" i="52" s="1"/>
  <c r="L24" i="52" s="1"/>
  <c r="L25" i="52" s="1"/>
  <c r="L26" i="52" s="1"/>
  <c r="L27" i="52" s="1"/>
  <c r="L28" i="52" s="1"/>
  <c r="L29" i="52" s="1"/>
  <c r="L30" i="52" s="1"/>
  <c r="L31" i="52" s="1"/>
  <c r="L32" i="52" s="1"/>
  <c r="L33" i="52" s="1"/>
  <c r="L34" i="52" s="1"/>
  <c r="L35" i="52" s="1"/>
  <c r="L36" i="52" s="1"/>
  <c r="L37" i="52" s="1"/>
  <c r="L38" i="52" s="1"/>
  <c r="L39" i="52" s="1"/>
  <c r="L40" i="52" s="1"/>
  <c r="L41" i="52" s="1"/>
  <c r="K8" i="52"/>
  <c r="K9" i="52" s="1"/>
  <c r="B8" i="52"/>
  <c r="B9" i="52" s="1"/>
  <c r="BM9" i="52" s="1"/>
  <c r="A8" i="52"/>
  <c r="A9" i="52" s="1"/>
  <c r="A10" i="52" s="1"/>
  <c r="A11" i="52" s="1"/>
  <c r="A12" i="52" s="1"/>
  <c r="A13" i="52" s="1"/>
  <c r="A14" i="52" s="1"/>
  <c r="A15" i="52" s="1"/>
  <c r="A16" i="52" s="1"/>
  <c r="A17" i="52" s="1"/>
  <c r="A18" i="52" s="1"/>
  <c r="A19" i="52" s="1"/>
  <c r="A20" i="52" s="1"/>
  <c r="A21" i="52" s="1"/>
  <c r="BJ7" i="52"/>
  <c r="BJ8" i="52" s="1"/>
  <c r="AU7" i="52"/>
  <c r="AR7" i="52"/>
  <c r="AM7" i="52"/>
  <c r="AF7" i="52"/>
  <c r="Y7" i="52"/>
  <c r="U7" i="52"/>
  <c r="Q7" i="52"/>
  <c r="M7" i="52"/>
  <c r="H7" i="52"/>
  <c r="AP4" i="16"/>
  <c r="AX21" i="49"/>
  <c r="BI11" i="49"/>
  <c r="E11" i="49" s="1"/>
  <c r="BJ8" i="49"/>
  <c r="AR8" i="49" s="1"/>
  <c r="AT8" i="49"/>
  <c r="AT9" i="49" s="1"/>
  <c r="AQ8" i="49"/>
  <c r="AQ9" i="49" s="1"/>
  <c r="AQ10" i="49" s="1"/>
  <c r="AK8" i="49"/>
  <c r="AK9" i="49" s="1"/>
  <c r="AK10" i="49" s="1"/>
  <c r="AJ8" i="49"/>
  <c r="AJ9" i="49" s="1"/>
  <c r="AJ10" i="49" s="1"/>
  <c r="AI8" i="49"/>
  <c r="AI9" i="49" s="1"/>
  <c r="AE8" i="49"/>
  <c r="AE9" i="49" s="1"/>
  <c r="Y8" i="49"/>
  <c r="Y9" i="49" s="1"/>
  <c r="Y10" i="49" s="1"/>
  <c r="Y11" i="49" s="1"/>
  <c r="Y12" i="49" s="1"/>
  <c r="Y13" i="49" s="1"/>
  <c r="Y14" i="49" s="1"/>
  <c r="Y15" i="49" s="1"/>
  <c r="Y16" i="49" s="1"/>
  <c r="Y17" i="49" s="1"/>
  <c r="Y18" i="49" s="1"/>
  <c r="Y19" i="49" s="1"/>
  <c r="Y20" i="49" s="1"/>
  <c r="Y21" i="49" s="1"/>
  <c r="Y22" i="49" s="1"/>
  <c r="Y23" i="49" s="1"/>
  <c r="Y24" i="49" s="1"/>
  <c r="Y25" i="49" s="1"/>
  <c r="Y26" i="49" s="1"/>
  <c r="Y27" i="49" s="1"/>
  <c r="Y28" i="49" s="1"/>
  <c r="Y29" i="49" s="1"/>
  <c r="Y30" i="49" s="1"/>
  <c r="Y31" i="49" s="1"/>
  <c r="Y32" i="49" s="1"/>
  <c r="Y33" i="49" s="1"/>
  <c r="Y34" i="49" s="1"/>
  <c r="Y35" i="49" s="1"/>
  <c r="Y36" i="49" s="1"/>
  <c r="Y37" i="49" s="1"/>
  <c r="Y38" i="49" s="1"/>
  <c r="Y39" i="49" s="1"/>
  <c r="Y40" i="49" s="1"/>
  <c r="Y41" i="49" s="1"/>
  <c r="X8" i="49"/>
  <c r="U8" i="49"/>
  <c r="U9" i="49" s="1"/>
  <c r="U10" i="49" s="1"/>
  <c r="U11" i="49" s="1"/>
  <c r="U12" i="49" s="1"/>
  <c r="U13" i="49" s="1"/>
  <c r="U14" i="49" s="1"/>
  <c r="U15" i="49" s="1"/>
  <c r="U16" i="49" s="1"/>
  <c r="U17" i="49" s="1"/>
  <c r="U18" i="49" s="1"/>
  <c r="U19" i="49" s="1"/>
  <c r="U20" i="49" s="1"/>
  <c r="U21" i="49" s="1"/>
  <c r="U22" i="49" s="1"/>
  <c r="U23" i="49" s="1"/>
  <c r="U24" i="49" s="1"/>
  <c r="U25" i="49" s="1"/>
  <c r="U26" i="49" s="1"/>
  <c r="U27" i="49" s="1"/>
  <c r="U28" i="49" s="1"/>
  <c r="U29" i="49" s="1"/>
  <c r="U30" i="49" s="1"/>
  <c r="U31" i="49" s="1"/>
  <c r="U32" i="49" s="1"/>
  <c r="U33" i="49" s="1"/>
  <c r="U34" i="49" s="1"/>
  <c r="U35" i="49" s="1"/>
  <c r="U36" i="49" s="1"/>
  <c r="U37" i="49" s="1"/>
  <c r="U38" i="49" s="1"/>
  <c r="U39" i="49" s="1"/>
  <c r="U40" i="49" s="1"/>
  <c r="U41" i="49" s="1"/>
  <c r="T8" i="49"/>
  <c r="T9" i="49" s="1"/>
  <c r="T10" i="49" s="1"/>
  <c r="Q8" i="49"/>
  <c r="Q9" i="49" s="1"/>
  <c r="Q10" i="49" s="1"/>
  <c r="Q11" i="49" s="1"/>
  <c r="Q12" i="49" s="1"/>
  <c r="Q13" i="49" s="1"/>
  <c r="Q14" i="49" s="1"/>
  <c r="Q15" i="49" s="1"/>
  <c r="Q16" i="49" s="1"/>
  <c r="Q17" i="49" s="1"/>
  <c r="Q18" i="49" s="1"/>
  <c r="Q19" i="49" s="1"/>
  <c r="Q20" i="49" s="1"/>
  <c r="Q21" i="49" s="1"/>
  <c r="Q22" i="49" s="1"/>
  <c r="Q23" i="49" s="1"/>
  <c r="Q24" i="49" s="1"/>
  <c r="Q25" i="49" s="1"/>
  <c r="Q26" i="49" s="1"/>
  <c r="Q27" i="49" s="1"/>
  <c r="Q28" i="49" s="1"/>
  <c r="Q29" i="49" s="1"/>
  <c r="Q30" i="49" s="1"/>
  <c r="Q31" i="49" s="1"/>
  <c r="Q32" i="49" s="1"/>
  <c r="Q33" i="49" s="1"/>
  <c r="Q34" i="49" s="1"/>
  <c r="Q35" i="49" s="1"/>
  <c r="Q36" i="49" s="1"/>
  <c r="Q37" i="49" s="1"/>
  <c r="Q38" i="49" s="1"/>
  <c r="Q39" i="49" s="1"/>
  <c r="Q40" i="49" s="1"/>
  <c r="Q41" i="49" s="1"/>
  <c r="P8" i="49"/>
  <c r="P9" i="49" s="1"/>
  <c r="M8" i="49"/>
  <c r="M9" i="49" s="1"/>
  <c r="M10" i="49" s="1"/>
  <c r="M11" i="49" s="1"/>
  <c r="M12" i="49" s="1"/>
  <c r="M13" i="49" s="1"/>
  <c r="M14" i="49" s="1"/>
  <c r="M15" i="49" s="1"/>
  <c r="M16" i="49" s="1"/>
  <c r="M17" i="49" s="1"/>
  <c r="M18" i="49" s="1"/>
  <c r="M19" i="49" s="1"/>
  <c r="M20" i="49" s="1"/>
  <c r="M21" i="49" s="1"/>
  <c r="M22" i="49" s="1"/>
  <c r="M23" i="49" s="1"/>
  <c r="M24" i="49" s="1"/>
  <c r="M25" i="49" s="1"/>
  <c r="M26" i="49" s="1"/>
  <c r="M27" i="49" s="1"/>
  <c r="M28" i="49" s="1"/>
  <c r="M29" i="49" s="1"/>
  <c r="M30" i="49" s="1"/>
  <c r="M31" i="49" s="1"/>
  <c r="M32" i="49" s="1"/>
  <c r="M33" i="49" s="1"/>
  <c r="M34" i="49" s="1"/>
  <c r="M35" i="49" s="1"/>
  <c r="M36" i="49" s="1"/>
  <c r="M37" i="49" s="1"/>
  <c r="M38" i="49" s="1"/>
  <c r="M39" i="49" s="1"/>
  <c r="M40" i="49" s="1"/>
  <c r="M41" i="49" s="1"/>
  <c r="L8" i="49"/>
  <c r="L9" i="49" s="1"/>
  <c r="C8" i="49"/>
  <c r="C9" i="49" s="1"/>
  <c r="A8" i="49"/>
  <c r="A9" i="49" s="1"/>
  <c r="A10" i="49" s="1"/>
  <c r="A11" i="49" s="1"/>
  <c r="A12" i="49" s="1"/>
  <c r="A13" i="49" s="1"/>
  <c r="A14" i="49" s="1"/>
  <c r="A15" i="49" s="1"/>
  <c r="A16" i="49" s="1"/>
  <c r="A17" i="49" s="1"/>
  <c r="A18" i="49" s="1"/>
  <c r="A19" i="49" s="1"/>
  <c r="A20" i="49" s="1"/>
  <c r="A21" i="49" s="1"/>
  <c r="BK7" i="49"/>
  <c r="BK8" i="49" s="1"/>
  <c r="AX7" i="49"/>
  <c r="AV7" i="49"/>
  <c r="AS7" i="49"/>
  <c r="AO7" i="49"/>
  <c r="AL7" i="49"/>
  <c r="AG7" i="49"/>
  <c r="AC7" i="49"/>
  <c r="Z7" i="49"/>
  <c r="V7" i="49"/>
  <c r="R7" i="49"/>
  <c r="N7" i="49"/>
  <c r="K3" i="62" s="1"/>
  <c r="J7" i="22"/>
  <c r="E40" i="62" s="1"/>
  <c r="P7" i="22"/>
  <c r="P8" i="22" s="1"/>
  <c r="P9" i="22" s="1"/>
  <c r="Q7" i="22"/>
  <c r="T7" i="22"/>
  <c r="U7" i="22"/>
  <c r="X7" i="22"/>
  <c r="Y7" i="22"/>
  <c r="AB7" i="22"/>
  <c r="AE7" i="22"/>
  <c r="AE8" i="22" s="1"/>
  <c r="AE9" i="22" s="1"/>
  <c r="AE10" i="22" s="1"/>
  <c r="AF7" i="22"/>
  <c r="AH7" i="22"/>
  <c r="AI7" i="22"/>
  <c r="AQ7" i="22"/>
  <c r="AQ8" i="22" s="1"/>
  <c r="AR7" i="22"/>
  <c r="AT7" i="22"/>
  <c r="AU7" i="22"/>
  <c r="AY7" i="22"/>
  <c r="AY8" i="22" s="1"/>
  <c r="AY9" i="22" s="1"/>
  <c r="BN7" i="22"/>
  <c r="BO7" i="22"/>
  <c r="BQ7" i="22"/>
  <c r="A8" i="22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BN8" i="22"/>
  <c r="BQ8" i="22"/>
  <c r="BN9" i="22"/>
  <c r="BQ9" i="22"/>
  <c r="BN10" i="22"/>
  <c r="BQ10" i="22"/>
  <c r="BQ11" i="22"/>
  <c r="BQ12" i="22"/>
  <c r="BQ13" i="22"/>
  <c r="BQ14" i="22"/>
  <c r="BQ15" i="22"/>
  <c r="BQ16" i="22"/>
  <c r="BQ17" i="22"/>
  <c r="BQ18" i="22"/>
  <c r="BQ19" i="22"/>
  <c r="BQ20" i="22"/>
  <c r="BQ21" i="22"/>
  <c r="BQ22" i="22"/>
  <c r="BQ23" i="22"/>
  <c r="BQ24" i="22"/>
  <c r="BQ25" i="22"/>
  <c r="BQ26" i="22"/>
  <c r="BQ27" i="22"/>
  <c r="BQ28" i="22"/>
  <c r="BQ29" i="22"/>
  <c r="BQ30" i="22"/>
  <c r="BQ31" i="22"/>
  <c r="BQ32" i="22"/>
  <c r="BQ33" i="22"/>
  <c r="BQ34" i="22"/>
  <c r="BQ35" i="22"/>
  <c r="BQ36" i="22"/>
  <c r="BQ37" i="22"/>
  <c r="BQ38" i="22"/>
  <c r="BQ39" i="22"/>
  <c r="BQ40" i="22"/>
  <c r="BQ41" i="22"/>
  <c r="AY7" i="42"/>
  <c r="AP8" i="42"/>
  <c r="AP9" i="42" s="1"/>
  <c r="AR7" i="42"/>
  <c r="AP8" i="47"/>
  <c r="AP9" i="47" s="1"/>
  <c r="AR7" i="47"/>
  <c r="AM7" i="47"/>
  <c r="AN7" i="47" s="1"/>
  <c r="AW21" i="47"/>
  <c r="AW7" i="47"/>
  <c r="AW7" i="42"/>
  <c r="AW41" i="47"/>
  <c r="E41" i="47"/>
  <c r="E21" i="47"/>
  <c r="BE11" i="47"/>
  <c r="BE12" i="47" s="1"/>
  <c r="BE13" i="47" s="1"/>
  <c r="BE14" i="47" s="1"/>
  <c r="BE15" i="47" s="1"/>
  <c r="BE16" i="47" s="1"/>
  <c r="BE17" i="47" s="1"/>
  <c r="BE18" i="47" s="1"/>
  <c r="BE19" i="47" s="1"/>
  <c r="BE20" i="47" s="1"/>
  <c r="BE21" i="47" s="1"/>
  <c r="BE22" i="47" s="1"/>
  <c r="BE23" i="47" s="1"/>
  <c r="BE24" i="47" s="1"/>
  <c r="BE25" i="47" s="1"/>
  <c r="BE26" i="47" s="1"/>
  <c r="BE27" i="47" s="1"/>
  <c r="BE28" i="47" s="1"/>
  <c r="BE29" i="47" s="1"/>
  <c r="BE30" i="47" s="1"/>
  <c r="BE31" i="47" s="1"/>
  <c r="BE32" i="47" s="1"/>
  <c r="BE33" i="47" s="1"/>
  <c r="BE34" i="47" s="1"/>
  <c r="BE35" i="47" s="1"/>
  <c r="BE36" i="47" s="1"/>
  <c r="BE37" i="47" s="1"/>
  <c r="BE38" i="47" s="1"/>
  <c r="BE39" i="47" s="1"/>
  <c r="BE40" i="47" s="1"/>
  <c r="BE41" i="47" s="1"/>
  <c r="BF8" i="47"/>
  <c r="AT8" i="47" s="1"/>
  <c r="AS8" i="47"/>
  <c r="AS9" i="47" s="1"/>
  <c r="AJ8" i="47"/>
  <c r="AJ9" i="47" s="1"/>
  <c r="AJ10" i="47" s="1"/>
  <c r="AJ11" i="47" s="1"/>
  <c r="AJ12" i="47" s="1"/>
  <c r="AJ13" i="47" s="1"/>
  <c r="AJ14" i="47" s="1"/>
  <c r="AJ15" i="47" s="1"/>
  <c r="AJ16" i="47" s="1"/>
  <c r="AJ17" i="47" s="1"/>
  <c r="AJ18" i="47" s="1"/>
  <c r="AI8" i="47"/>
  <c r="AI9" i="47" s="1"/>
  <c r="AI10" i="47" s="1"/>
  <c r="AI11" i="47" s="1"/>
  <c r="AI12" i="47" s="1"/>
  <c r="AI13" i="47" s="1"/>
  <c r="AI14" i="47" s="1"/>
  <c r="AI15" i="47" s="1"/>
  <c r="AI16" i="47" s="1"/>
  <c r="AI17" i="47" s="1"/>
  <c r="AI18" i="47" s="1"/>
  <c r="AH8" i="47"/>
  <c r="AD8" i="47"/>
  <c r="X8" i="47"/>
  <c r="X9" i="47" s="1"/>
  <c r="X10" i="47" s="1"/>
  <c r="X11" i="47" s="1"/>
  <c r="X12" i="47" s="1"/>
  <c r="X13" i="47" s="1"/>
  <c r="X14" i="47" s="1"/>
  <c r="X15" i="47" s="1"/>
  <c r="X16" i="47" s="1"/>
  <c r="X17" i="47" s="1"/>
  <c r="X18" i="47" s="1"/>
  <c r="X19" i="47" s="1"/>
  <c r="X20" i="47" s="1"/>
  <c r="X21" i="47" s="1"/>
  <c r="X22" i="47" s="1"/>
  <c r="X23" i="47" s="1"/>
  <c r="X24" i="47" s="1"/>
  <c r="X25" i="47" s="1"/>
  <c r="X26" i="47" s="1"/>
  <c r="X27" i="47" s="1"/>
  <c r="X28" i="47" s="1"/>
  <c r="X29" i="47" s="1"/>
  <c r="X30" i="47" s="1"/>
  <c r="X31" i="47" s="1"/>
  <c r="X32" i="47" s="1"/>
  <c r="X33" i="47" s="1"/>
  <c r="X34" i="47" s="1"/>
  <c r="X35" i="47" s="1"/>
  <c r="X36" i="47" s="1"/>
  <c r="X37" i="47" s="1"/>
  <c r="X38" i="47" s="1"/>
  <c r="X39" i="47" s="1"/>
  <c r="X40" i="47" s="1"/>
  <c r="X41" i="47" s="1"/>
  <c r="W8" i="47"/>
  <c r="T8" i="47"/>
  <c r="T9" i="47" s="1"/>
  <c r="T10" i="47" s="1"/>
  <c r="T11" i="47" s="1"/>
  <c r="T12" i="47" s="1"/>
  <c r="T13" i="47" s="1"/>
  <c r="T14" i="47" s="1"/>
  <c r="T15" i="47" s="1"/>
  <c r="T16" i="47" s="1"/>
  <c r="T17" i="47" s="1"/>
  <c r="T18" i="47" s="1"/>
  <c r="T19" i="47" s="1"/>
  <c r="T20" i="47" s="1"/>
  <c r="T21" i="47" s="1"/>
  <c r="T22" i="47" s="1"/>
  <c r="T23" i="47" s="1"/>
  <c r="T24" i="47" s="1"/>
  <c r="T25" i="47" s="1"/>
  <c r="T26" i="47" s="1"/>
  <c r="T27" i="47" s="1"/>
  <c r="T28" i="47" s="1"/>
  <c r="T29" i="47" s="1"/>
  <c r="T30" i="47" s="1"/>
  <c r="T31" i="47" s="1"/>
  <c r="T32" i="47" s="1"/>
  <c r="T33" i="47" s="1"/>
  <c r="T34" i="47" s="1"/>
  <c r="T35" i="47" s="1"/>
  <c r="T36" i="47" s="1"/>
  <c r="T37" i="47" s="1"/>
  <c r="T38" i="47" s="1"/>
  <c r="T39" i="47" s="1"/>
  <c r="T40" i="47" s="1"/>
  <c r="T41" i="47" s="1"/>
  <c r="S8" i="47"/>
  <c r="U8" i="47" s="1"/>
  <c r="P8" i="47"/>
  <c r="P9" i="47" s="1"/>
  <c r="P10" i="47" s="1"/>
  <c r="P11" i="47" s="1"/>
  <c r="P12" i="47" s="1"/>
  <c r="P13" i="47" s="1"/>
  <c r="P14" i="47" s="1"/>
  <c r="P15" i="47" s="1"/>
  <c r="P16" i="47" s="1"/>
  <c r="P17" i="47" s="1"/>
  <c r="P18" i="47" s="1"/>
  <c r="P19" i="47" s="1"/>
  <c r="P20" i="47" s="1"/>
  <c r="P21" i="47" s="1"/>
  <c r="P22" i="47" s="1"/>
  <c r="P23" i="47" s="1"/>
  <c r="P24" i="47" s="1"/>
  <c r="P25" i="47" s="1"/>
  <c r="P26" i="47" s="1"/>
  <c r="P27" i="47" s="1"/>
  <c r="P28" i="47" s="1"/>
  <c r="P29" i="47" s="1"/>
  <c r="P30" i="47" s="1"/>
  <c r="P31" i="47" s="1"/>
  <c r="P32" i="47" s="1"/>
  <c r="P33" i="47" s="1"/>
  <c r="P34" i="47" s="1"/>
  <c r="P35" i="47" s="1"/>
  <c r="P36" i="47" s="1"/>
  <c r="P37" i="47" s="1"/>
  <c r="P38" i="47" s="1"/>
  <c r="P39" i="47" s="1"/>
  <c r="P40" i="47" s="1"/>
  <c r="P41" i="47" s="1"/>
  <c r="O8" i="47"/>
  <c r="Q8" i="47" s="1"/>
  <c r="L8" i="47"/>
  <c r="L9" i="47" s="1"/>
  <c r="L10" i="47" s="1"/>
  <c r="L11" i="47" s="1"/>
  <c r="L12" i="47" s="1"/>
  <c r="L13" i="47" s="1"/>
  <c r="L14" i="47" s="1"/>
  <c r="L15" i="47" s="1"/>
  <c r="L16" i="47" s="1"/>
  <c r="L17" i="47" s="1"/>
  <c r="L18" i="47" s="1"/>
  <c r="L19" i="47" s="1"/>
  <c r="L20" i="47" s="1"/>
  <c r="L21" i="47" s="1"/>
  <c r="L22" i="47" s="1"/>
  <c r="L23" i="47" s="1"/>
  <c r="L24" i="47" s="1"/>
  <c r="L25" i="47" s="1"/>
  <c r="L26" i="47" s="1"/>
  <c r="L27" i="47" s="1"/>
  <c r="L28" i="47" s="1"/>
  <c r="L29" i="47" s="1"/>
  <c r="L30" i="47" s="1"/>
  <c r="L31" i="47" s="1"/>
  <c r="L32" i="47" s="1"/>
  <c r="L33" i="47" s="1"/>
  <c r="L34" i="47" s="1"/>
  <c r="L35" i="47" s="1"/>
  <c r="L36" i="47" s="1"/>
  <c r="L37" i="47" s="1"/>
  <c r="L38" i="47" s="1"/>
  <c r="L39" i="47" s="1"/>
  <c r="L40" i="47" s="1"/>
  <c r="L41" i="47" s="1"/>
  <c r="K8" i="47"/>
  <c r="K9" i="47" s="1"/>
  <c r="K10" i="47" s="1"/>
  <c r="C8" i="47"/>
  <c r="C9" i="47" s="1"/>
  <c r="B8" i="47"/>
  <c r="B9" i="47" s="1"/>
  <c r="A8" i="47"/>
  <c r="A9" i="47" s="1"/>
  <c r="A10" i="47" s="1"/>
  <c r="A11" i="47" s="1"/>
  <c r="A12" i="47" s="1"/>
  <c r="A13" i="47" s="1"/>
  <c r="A14" i="47" s="1"/>
  <c r="A15" i="47" s="1"/>
  <c r="A16" i="47" s="1"/>
  <c r="A17" i="47" s="1"/>
  <c r="A18" i="47" s="1"/>
  <c r="A19" i="47" s="1"/>
  <c r="A20" i="47" s="1"/>
  <c r="A21" i="47" s="1"/>
  <c r="A22" i="47" s="1"/>
  <c r="A23" i="47" s="1"/>
  <c r="A24" i="47" s="1"/>
  <c r="A25" i="47" s="1"/>
  <c r="A26" i="47" s="1"/>
  <c r="A27" i="47" s="1"/>
  <c r="A28" i="47" s="1"/>
  <c r="A29" i="47" s="1"/>
  <c r="A30" i="47" s="1"/>
  <c r="A31" i="47" s="1"/>
  <c r="A32" i="47" s="1"/>
  <c r="A33" i="47" s="1"/>
  <c r="A34" i="47" s="1"/>
  <c r="A35" i="47" s="1"/>
  <c r="A36" i="47" s="1"/>
  <c r="A37" i="47" s="1"/>
  <c r="A38" i="47" s="1"/>
  <c r="A39" i="47" s="1"/>
  <c r="A40" i="47" s="1"/>
  <c r="A41" i="47" s="1"/>
  <c r="BG7" i="47"/>
  <c r="BG8" i="47" s="1"/>
  <c r="AU7" i="47"/>
  <c r="AK7" i="47"/>
  <c r="AF7" i="47"/>
  <c r="AB7" i="47"/>
  <c r="Y7" i="47"/>
  <c r="U7" i="47"/>
  <c r="Q7" i="47"/>
  <c r="M7" i="47"/>
  <c r="I7" i="47"/>
  <c r="H7" i="47"/>
  <c r="K26" i="62" l="1"/>
  <c r="K11" i="62"/>
  <c r="AY7" i="49"/>
  <c r="H26" i="49"/>
  <c r="AO22" i="16"/>
  <c r="AC25" i="49"/>
  <c r="AB9" i="52"/>
  <c r="AW9" i="52"/>
  <c r="AN9" i="52"/>
  <c r="BB6" i="16"/>
  <c r="I9" i="52"/>
  <c r="BC6" i="16" s="1"/>
  <c r="BA8" i="16"/>
  <c r="F10" i="52"/>
  <c r="AB10" i="52" s="1"/>
  <c r="K14" i="62"/>
  <c r="J4" i="16"/>
  <c r="C4" i="16"/>
  <c r="BN7" i="52"/>
  <c r="BM8" i="52"/>
  <c r="BI12" i="49"/>
  <c r="BI13" i="49" s="1"/>
  <c r="BI14" i="49" s="1"/>
  <c r="BI15" i="49" s="1"/>
  <c r="BI16" i="49" s="1"/>
  <c r="BI17" i="49" s="1"/>
  <c r="BI18" i="49" s="1"/>
  <c r="BI19" i="49" s="1"/>
  <c r="BI20" i="49" s="1"/>
  <c r="BI21" i="49" s="1"/>
  <c r="BI22" i="49" s="1"/>
  <c r="BI23" i="49" s="1"/>
  <c r="BI24" i="49" s="1"/>
  <c r="BI25" i="49" s="1"/>
  <c r="BI26" i="49" s="1"/>
  <c r="BI27" i="49" s="1"/>
  <c r="BI28" i="49" s="1"/>
  <c r="BI29" i="49" s="1"/>
  <c r="BI30" i="49" s="1"/>
  <c r="BI31" i="49" s="1"/>
  <c r="BI32" i="49" s="1"/>
  <c r="BI33" i="49" s="1"/>
  <c r="BI34" i="49" s="1"/>
  <c r="BI35" i="49" s="1"/>
  <c r="BI36" i="49" s="1"/>
  <c r="BI37" i="49" s="1"/>
  <c r="BI38" i="49" s="1"/>
  <c r="BI39" i="49" s="1"/>
  <c r="BI40" i="49" s="1"/>
  <c r="BI41" i="49" s="1"/>
  <c r="BF7" i="49"/>
  <c r="I41" i="22"/>
  <c r="AB4" i="16"/>
  <c r="V7" i="22"/>
  <c r="E28" i="62" s="1"/>
  <c r="AG7" i="22"/>
  <c r="R7" i="22"/>
  <c r="E27" i="62" s="1"/>
  <c r="AV7" i="22"/>
  <c r="I7" i="22"/>
  <c r="Q8" i="22"/>
  <c r="R8" i="22" s="1"/>
  <c r="AN8" i="22"/>
  <c r="AN9" i="22" s="1"/>
  <c r="AN10" i="22" s="1"/>
  <c r="AT8" i="22"/>
  <c r="AT9" i="22" s="1"/>
  <c r="AT10" i="22" s="1"/>
  <c r="BA7" i="22"/>
  <c r="E33" i="62" s="1"/>
  <c r="U8" i="22"/>
  <c r="AS7" i="22"/>
  <c r="E34" i="62" s="1"/>
  <c r="Y8" i="22"/>
  <c r="Y9" i="22" s="1"/>
  <c r="Y10" i="22" s="1"/>
  <c r="Y11" i="22" s="1"/>
  <c r="Y12" i="22" s="1"/>
  <c r="Y13" i="22" s="1"/>
  <c r="Y14" i="22" s="1"/>
  <c r="Y15" i="22" s="1"/>
  <c r="Y16" i="22" s="1"/>
  <c r="Y17" i="22" s="1"/>
  <c r="Y18" i="22" s="1"/>
  <c r="Y19" i="22" s="1"/>
  <c r="Y20" i="22" s="1"/>
  <c r="Y21" i="22" s="1"/>
  <c r="Y22" i="22" s="1"/>
  <c r="Y23" i="22" s="1"/>
  <c r="Y24" i="22" s="1"/>
  <c r="Y25" i="22" s="1"/>
  <c r="Y26" i="22" s="1"/>
  <c r="Y27" i="22" s="1"/>
  <c r="Y28" i="22" s="1"/>
  <c r="Y29" i="22" s="1"/>
  <c r="Y30" i="22" s="1"/>
  <c r="Y31" i="22" s="1"/>
  <c r="Y32" i="22" s="1"/>
  <c r="Y33" i="22" s="1"/>
  <c r="Y34" i="22" s="1"/>
  <c r="Y35" i="22" s="1"/>
  <c r="Y36" i="22" s="1"/>
  <c r="Y37" i="22" s="1"/>
  <c r="Y38" i="22" s="1"/>
  <c r="Y39" i="22" s="1"/>
  <c r="Y40" i="22" s="1"/>
  <c r="Y41" i="22" s="1"/>
  <c r="T8" i="22"/>
  <c r="T9" i="22" s="1"/>
  <c r="T10" i="22" s="1"/>
  <c r="T11" i="22" s="1"/>
  <c r="AJ11" i="52"/>
  <c r="AJ12" i="52" s="1"/>
  <c r="AJ13" i="52" s="1"/>
  <c r="AJ14" i="52" s="1"/>
  <c r="AJ15" i="52" s="1"/>
  <c r="AJ16" i="52" s="1"/>
  <c r="AJ17" i="52" s="1"/>
  <c r="AJ18" i="52" s="1"/>
  <c r="AJ19" i="52" s="1"/>
  <c r="AJ20" i="52" s="1"/>
  <c r="AJ21" i="52" s="1"/>
  <c r="AJ22" i="52" s="1"/>
  <c r="AJ23" i="52" s="1"/>
  <c r="AJ24" i="52" s="1"/>
  <c r="AJ25" i="52" s="1"/>
  <c r="AJ26" i="52" s="1"/>
  <c r="AJ27" i="52" s="1"/>
  <c r="AJ28" i="52" s="1"/>
  <c r="AJ29" i="52" s="1"/>
  <c r="AJ30" i="52" s="1"/>
  <c r="AJ31" i="52" s="1"/>
  <c r="AJ32" i="52" s="1"/>
  <c r="AJ33" i="52" s="1"/>
  <c r="AJ34" i="52" s="1"/>
  <c r="AJ35" i="52" s="1"/>
  <c r="AJ36" i="52" s="1"/>
  <c r="AJ37" i="52" s="1"/>
  <c r="AJ38" i="52" s="1"/>
  <c r="AJ39" i="52" s="1"/>
  <c r="AJ40" i="52" s="1"/>
  <c r="AJ41" i="52" s="1"/>
  <c r="AQ8" i="52"/>
  <c r="AR8" i="52" s="1"/>
  <c r="Y8" i="52"/>
  <c r="AT8" i="52"/>
  <c r="AU8" i="52" s="1"/>
  <c r="AA8" i="52"/>
  <c r="AE8" i="52"/>
  <c r="BJ9" i="52"/>
  <c r="BJ10" i="52" s="1"/>
  <c r="BJ11" i="52" s="1"/>
  <c r="BJ12" i="52" s="1"/>
  <c r="BJ13" i="52" s="1"/>
  <c r="BJ14" i="52" s="1"/>
  <c r="BJ15" i="52" s="1"/>
  <c r="BJ16" i="52" s="1"/>
  <c r="BJ17" i="52" s="1"/>
  <c r="BJ18" i="52" s="1"/>
  <c r="BJ19" i="52" s="1"/>
  <c r="BJ20" i="52" s="1"/>
  <c r="BJ21" i="52" s="1"/>
  <c r="BJ22" i="52" s="1"/>
  <c r="BJ23" i="52" s="1"/>
  <c r="BJ24" i="52" s="1"/>
  <c r="BJ25" i="52" s="1"/>
  <c r="BJ26" i="52" s="1"/>
  <c r="BJ27" i="52" s="1"/>
  <c r="BJ28" i="52" s="1"/>
  <c r="BJ29" i="52" s="1"/>
  <c r="BJ30" i="52" s="1"/>
  <c r="BJ31" i="52" s="1"/>
  <c r="BJ32" i="52" s="1"/>
  <c r="BJ33" i="52" s="1"/>
  <c r="BJ34" i="52" s="1"/>
  <c r="BJ35" i="52" s="1"/>
  <c r="BJ36" i="52" s="1"/>
  <c r="BJ37" i="52" s="1"/>
  <c r="BJ38" i="52" s="1"/>
  <c r="BJ39" i="52" s="1"/>
  <c r="BJ40" i="52" s="1"/>
  <c r="BJ41" i="52" s="1"/>
  <c r="S11" i="52"/>
  <c r="U10" i="52"/>
  <c r="K10" i="52"/>
  <c r="M9" i="52"/>
  <c r="A22" i="52"/>
  <c r="A23" i="52" s="1"/>
  <c r="A24" i="52" s="1"/>
  <c r="A25" i="52" s="1"/>
  <c r="A26" i="52" s="1"/>
  <c r="A27" i="52" s="1"/>
  <c r="A28" i="52" s="1"/>
  <c r="A29" i="52" s="1"/>
  <c r="A30" i="52" s="1"/>
  <c r="A31" i="52" s="1"/>
  <c r="A32" i="52" s="1"/>
  <c r="A33" i="52" s="1"/>
  <c r="A34" i="52" s="1"/>
  <c r="A35" i="52" s="1"/>
  <c r="A36" i="52" s="1"/>
  <c r="A37" i="52" s="1"/>
  <c r="A38" i="52" s="1"/>
  <c r="A39" i="52" s="1"/>
  <c r="A40" i="52" s="1"/>
  <c r="A41" i="52" s="1"/>
  <c r="E22" i="52" s="1"/>
  <c r="AS11" i="52"/>
  <c r="AD10" i="52"/>
  <c r="U8" i="52"/>
  <c r="U9" i="52"/>
  <c r="X9" i="52"/>
  <c r="X10" i="52" s="1"/>
  <c r="X11" i="52" s="1"/>
  <c r="X12" i="52" s="1"/>
  <c r="X13" i="52" s="1"/>
  <c r="X14" i="52" s="1"/>
  <c r="X15" i="52" s="1"/>
  <c r="X16" i="52" s="1"/>
  <c r="X17" i="52" s="1"/>
  <c r="X18" i="52" s="1"/>
  <c r="X19" i="52" s="1"/>
  <c r="X20" i="52" s="1"/>
  <c r="X21" i="52" s="1"/>
  <c r="X22" i="52" s="1"/>
  <c r="X23" i="52" s="1"/>
  <c r="X24" i="52" s="1"/>
  <c r="X25" i="52" s="1"/>
  <c r="X26" i="52" s="1"/>
  <c r="X27" i="52" s="1"/>
  <c r="X28" i="52" s="1"/>
  <c r="X29" i="52" s="1"/>
  <c r="X30" i="52" s="1"/>
  <c r="X31" i="52" s="1"/>
  <c r="X32" i="52" s="1"/>
  <c r="X33" i="52" s="1"/>
  <c r="X34" i="52" s="1"/>
  <c r="X35" i="52" s="1"/>
  <c r="X36" i="52" s="1"/>
  <c r="X37" i="52" s="1"/>
  <c r="X38" i="52" s="1"/>
  <c r="X39" i="52" s="1"/>
  <c r="X40" i="52" s="1"/>
  <c r="X41" i="52" s="1"/>
  <c r="AP9" i="52"/>
  <c r="W10" i="52"/>
  <c r="M8" i="52"/>
  <c r="B10" i="52"/>
  <c r="BM10" i="52" s="1"/>
  <c r="AH11" i="52"/>
  <c r="E8" i="52"/>
  <c r="AM8" i="52"/>
  <c r="O9" i="52"/>
  <c r="Q8" i="52"/>
  <c r="AS8" i="49"/>
  <c r="AK11" i="49"/>
  <c r="AK12" i="49" s="1"/>
  <c r="AK13" i="49" s="1"/>
  <c r="AK14" i="49" s="1"/>
  <c r="AK15" i="49" s="1"/>
  <c r="AK16" i="49" s="1"/>
  <c r="AK17" i="49" s="1"/>
  <c r="AK18" i="49" s="1"/>
  <c r="AK19" i="49" s="1"/>
  <c r="AK20" i="49" s="1"/>
  <c r="AK21" i="49" s="1"/>
  <c r="AK22" i="49" s="1"/>
  <c r="AK23" i="49" s="1"/>
  <c r="AK24" i="49" s="1"/>
  <c r="AK25" i="49" s="1"/>
  <c r="AK26" i="49" s="1"/>
  <c r="AK27" i="49" s="1"/>
  <c r="AK28" i="49" s="1"/>
  <c r="AK29" i="49" s="1"/>
  <c r="AK30" i="49" s="1"/>
  <c r="AK31" i="49" s="1"/>
  <c r="AK32" i="49" s="1"/>
  <c r="AK33" i="49" s="1"/>
  <c r="AK34" i="49" s="1"/>
  <c r="AK35" i="49" s="1"/>
  <c r="AK36" i="49" s="1"/>
  <c r="AK37" i="49" s="1"/>
  <c r="AK38" i="49" s="1"/>
  <c r="AK39" i="49" s="1"/>
  <c r="AK40" i="49" s="1"/>
  <c r="AK41" i="49" s="1"/>
  <c r="Z8" i="49"/>
  <c r="AU8" i="49"/>
  <c r="AV8" i="49" s="1"/>
  <c r="BJ9" i="49"/>
  <c r="BJ10" i="49" s="1"/>
  <c r="BJ11" i="49" s="1"/>
  <c r="BJ12" i="49" s="1"/>
  <c r="BJ13" i="49" s="1"/>
  <c r="BJ14" i="49" s="1"/>
  <c r="BJ15" i="49" s="1"/>
  <c r="BJ16" i="49" s="1"/>
  <c r="BJ17" i="49" s="1"/>
  <c r="BJ18" i="49" s="1"/>
  <c r="BJ19" i="49" s="1"/>
  <c r="BJ20" i="49" s="1"/>
  <c r="BJ21" i="49" s="1"/>
  <c r="BJ22" i="49" s="1"/>
  <c r="BJ23" i="49" s="1"/>
  <c r="BJ24" i="49" s="1"/>
  <c r="BJ25" i="49" s="1"/>
  <c r="BJ26" i="49" s="1"/>
  <c r="BJ27" i="49" s="1"/>
  <c r="BJ28" i="49" s="1"/>
  <c r="BJ29" i="49" s="1"/>
  <c r="BJ30" i="49" s="1"/>
  <c r="BJ31" i="49" s="1"/>
  <c r="BJ32" i="49" s="1"/>
  <c r="BJ33" i="49" s="1"/>
  <c r="BJ34" i="49" s="1"/>
  <c r="BJ35" i="49" s="1"/>
  <c r="BJ36" i="49" s="1"/>
  <c r="BJ37" i="49" s="1"/>
  <c r="BJ38" i="49" s="1"/>
  <c r="BJ39" i="49" s="1"/>
  <c r="BJ40" i="49" s="1"/>
  <c r="BJ41" i="49" s="1"/>
  <c r="AN8" i="49"/>
  <c r="R8" i="49"/>
  <c r="AJ11" i="49"/>
  <c r="V8" i="49"/>
  <c r="R9" i="49"/>
  <c r="P10" i="49"/>
  <c r="AE10" i="49"/>
  <c r="AL9" i="49"/>
  <c r="AI10" i="49"/>
  <c r="BK9" i="49"/>
  <c r="BK10" i="49" s="1"/>
  <c r="BK11" i="49" s="1"/>
  <c r="BK12" i="49" s="1"/>
  <c r="BK13" i="49" s="1"/>
  <c r="BK14" i="49" s="1"/>
  <c r="BK15" i="49" s="1"/>
  <c r="BK16" i="49" s="1"/>
  <c r="BK17" i="49" s="1"/>
  <c r="BK18" i="49" s="1"/>
  <c r="BK19" i="49" s="1"/>
  <c r="BK20" i="49" s="1"/>
  <c r="BK21" i="49" s="1"/>
  <c r="BK22" i="49" s="1"/>
  <c r="BK23" i="49" s="1"/>
  <c r="BK24" i="49" s="1"/>
  <c r="BK25" i="49" s="1"/>
  <c r="BK26" i="49" s="1"/>
  <c r="BK27" i="49" s="1"/>
  <c r="BK28" i="49" s="1"/>
  <c r="BK29" i="49" s="1"/>
  <c r="BK30" i="49" s="1"/>
  <c r="BK31" i="49" s="1"/>
  <c r="BK32" i="49" s="1"/>
  <c r="BK33" i="49" s="1"/>
  <c r="BK34" i="49" s="1"/>
  <c r="BK35" i="49" s="1"/>
  <c r="BK36" i="49" s="1"/>
  <c r="BK37" i="49" s="1"/>
  <c r="BK38" i="49" s="1"/>
  <c r="BK39" i="49" s="1"/>
  <c r="BK40" i="49" s="1"/>
  <c r="BK41" i="49" s="1"/>
  <c r="AB8" i="49"/>
  <c r="AF8" i="49"/>
  <c r="T11" i="49"/>
  <c r="V10" i="49"/>
  <c r="A22" i="49"/>
  <c r="A23" i="49" s="1"/>
  <c r="A24" i="49" s="1"/>
  <c r="A25" i="49" s="1"/>
  <c r="A26" i="49" s="1"/>
  <c r="A27" i="49" s="1"/>
  <c r="A28" i="49" s="1"/>
  <c r="A29" i="49" s="1"/>
  <c r="A30" i="49" s="1"/>
  <c r="A31" i="49" s="1"/>
  <c r="A32" i="49" s="1"/>
  <c r="A33" i="49" s="1"/>
  <c r="A34" i="49" s="1"/>
  <c r="A35" i="49" s="1"/>
  <c r="A36" i="49" s="1"/>
  <c r="A37" i="49" s="1"/>
  <c r="A38" i="49" s="1"/>
  <c r="A39" i="49" s="1"/>
  <c r="A40" i="49" s="1"/>
  <c r="A41" i="49" s="1"/>
  <c r="L10" i="49"/>
  <c r="N9" i="49"/>
  <c r="C10" i="49"/>
  <c r="V9" i="49"/>
  <c r="X9" i="49"/>
  <c r="AQ11" i="49"/>
  <c r="N8" i="49"/>
  <c r="AT10" i="49"/>
  <c r="AL8" i="49"/>
  <c r="N7" i="22"/>
  <c r="L8" i="22"/>
  <c r="X8" i="22"/>
  <c r="Z7" i="22"/>
  <c r="E29" i="62" s="1"/>
  <c r="A22" i="22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H8" i="22"/>
  <c r="AJ7" i="22"/>
  <c r="P10" i="22"/>
  <c r="AQ9" i="22"/>
  <c r="AM8" i="22"/>
  <c r="AO7" i="22"/>
  <c r="E32" i="62" s="1"/>
  <c r="M8" i="22"/>
  <c r="M9" i="22" s="1"/>
  <c r="M10" i="22" s="1"/>
  <c r="M11" i="22" s="1"/>
  <c r="M12" i="22" s="1"/>
  <c r="M13" i="22" s="1"/>
  <c r="M14" i="22" s="1"/>
  <c r="M15" i="22" s="1"/>
  <c r="M16" i="22" s="1"/>
  <c r="M17" i="22" s="1"/>
  <c r="M18" i="22" s="1"/>
  <c r="M19" i="22" s="1"/>
  <c r="M20" i="22" s="1"/>
  <c r="M21" i="22" s="1"/>
  <c r="M22" i="22" s="1"/>
  <c r="M23" i="22" s="1"/>
  <c r="M24" i="22" s="1"/>
  <c r="M25" i="22" s="1"/>
  <c r="M26" i="22" s="1"/>
  <c r="M27" i="22" s="1"/>
  <c r="M28" i="22" s="1"/>
  <c r="M29" i="22" s="1"/>
  <c r="M30" i="22" s="1"/>
  <c r="M31" i="22" s="1"/>
  <c r="M32" i="22" s="1"/>
  <c r="M33" i="22" s="1"/>
  <c r="M34" i="22" s="1"/>
  <c r="M35" i="22" s="1"/>
  <c r="M36" i="22" s="1"/>
  <c r="M37" i="22" s="1"/>
  <c r="M38" i="22" s="1"/>
  <c r="M39" i="22" s="1"/>
  <c r="M40" i="22" s="1"/>
  <c r="M41" i="22" s="1"/>
  <c r="BC7" i="22"/>
  <c r="AD4" i="16"/>
  <c r="AE11" i="22"/>
  <c r="AY10" i="22"/>
  <c r="AC7" i="22"/>
  <c r="AY7" i="47"/>
  <c r="AP10" i="42"/>
  <c r="AP10" i="47"/>
  <c r="AI19" i="47"/>
  <c r="AI20" i="47" s="1"/>
  <c r="AI21" i="47" s="1"/>
  <c r="AI22" i="47" s="1"/>
  <c r="AI23" i="47" s="1"/>
  <c r="AI24" i="47" s="1"/>
  <c r="AI25" i="47" s="1"/>
  <c r="AI26" i="47" s="1"/>
  <c r="AI27" i="47" s="1"/>
  <c r="AI28" i="47" s="1"/>
  <c r="AI29" i="47" s="1"/>
  <c r="AI30" i="47" s="1"/>
  <c r="AI31" i="47" s="1"/>
  <c r="AI32" i="47" s="1"/>
  <c r="AI33" i="47" s="1"/>
  <c r="AI34" i="47" s="1"/>
  <c r="AI35" i="47" s="1"/>
  <c r="AI36" i="47" s="1"/>
  <c r="AI37" i="47" s="1"/>
  <c r="AI38" i="47" s="1"/>
  <c r="AI39" i="47" s="1"/>
  <c r="AI40" i="47" s="1"/>
  <c r="AI41" i="47" s="1"/>
  <c r="AJ19" i="47"/>
  <c r="AJ20" i="47" s="1"/>
  <c r="AJ21" i="47" s="1"/>
  <c r="AJ22" i="47" s="1"/>
  <c r="AJ23" i="47" s="1"/>
  <c r="AJ24" i="47" s="1"/>
  <c r="AJ25" i="47" s="1"/>
  <c r="AJ26" i="47" s="1"/>
  <c r="AJ27" i="47" s="1"/>
  <c r="AJ28" i="47" s="1"/>
  <c r="AJ29" i="47" s="1"/>
  <c r="AJ30" i="47" s="1"/>
  <c r="AJ31" i="47" s="1"/>
  <c r="AJ32" i="47" s="1"/>
  <c r="AJ33" i="47" s="1"/>
  <c r="AJ34" i="47" s="1"/>
  <c r="AJ35" i="47" s="1"/>
  <c r="AJ36" i="47" s="1"/>
  <c r="AJ37" i="47" s="1"/>
  <c r="AJ38" i="47" s="1"/>
  <c r="AJ39" i="47" s="1"/>
  <c r="AJ40" i="47" s="1"/>
  <c r="AJ41" i="47" s="1"/>
  <c r="AQ8" i="47"/>
  <c r="AR8" i="47"/>
  <c r="O9" i="47"/>
  <c r="Q9" i="47" s="1"/>
  <c r="O10" i="47"/>
  <c r="O11" i="47" s="1"/>
  <c r="AW22" i="47"/>
  <c r="W9" i="47"/>
  <c r="Y8" i="47"/>
  <c r="M8" i="47"/>
  <c r="M10" i="47"/>
  <c r="K11" i="47"/>
  <c r="M9" i="47"/>
  <c r="AH9" i="47"/>
  <c r="AK8" i="47"/>
  <c r="C10" i="47"/>
  <c r="AE8" i="47"/>
  <c r="AF8" i="47" s="1"/>
  <c r="BG9" i="47"/>
  <c r="BG10" i="47" s="1"/>
  <c r="BG11" i="47" s="1"/>
  <c r="BG12" i="47" s="1"/>
  <c r="BG13" i="47" s="1"/>
  <c r="BG14" i="47" s="1"/>
  <c r="BG15" i="47" s="1"/>
  <c r="BG16" i="47" s="1"/>
  <c r="BG17" i="47" s="1"/>
  <c r="BG18" i="47" s="1"/>
  <c r="BG19" i="47" s="1"/>
  <c r="BG20" i="47" s="1"/>
  <c r="BG21" i="47" s="1"/>
  <c r="BG22" i="47" s="1"/>
  <c r="BG23" i="47" s="1"/>
  <c r="BG24" i="47" s="1"/>
  <c r="BG25" i="47" s="1"/>
  <c r="BG26" i="47" s="1"/>
  <c r="BG27" i="47" s="1"/>
  <c r="BG28" i="47" s="1"/>
  <c r="BG29" i="47" s="1"/>
  <c r="BG30" i="47" s="1"/>
  <c r="BG31" i="47" s="1"/>
  <c r="BG32" i="47" s="1"/>
  <c r="BG33" i="47" s="1"/>
  <c r="BG34" i="47" s="1"/>
  <c r="BG35" i="47" s="1"/>
  <c r="BG36" i="47" s="1"/>
  <c r="BG37" i="47" s="1"/>
  <c r="BG38" i="47" s="1"/>
  <c r="BG39" i="47" s="1"/>
  <c r="BG40" i="47" s="1"/>
  <c r="BG41" i="47" s="1"/>
  <c r="AA8" i="47"/>
  <c r="AS10" i="47"/>
  <c r="E22" i="47"/>
  <c r="E23" i="47" s="1"/>
  <c r="E24" i="47" s="1"/>
  <c r="E25" i="47" s="1"/>
  <c r="E26" i="47" s="1"/>
  <c r="E27" i="47" s="1"/>
  <c r="E28" i="47" s="1"/>
  <c r="E29" i="47" s="1"/>
  <c r="E30" i="47" s="1"/>
  <c r="E31" i="47" s="1"/>
  <c r="E32" i="47" s="1"/>
  <c r="E33" i="47" s="1"/>
  <c r="E34" i="47" s="1"/>
  <c r="E35" i="47" s="1"/>
  <c r="E36" i="47" s="1"/>
  <c r="E37" i="47" s="1"/>
  <c r="E38" i="47" s="1"/>
  <c r="E39" i="47" s="1"/>
  <c r="E40" i="47" s="1"/>
  <c r="E8" i="47"/>
  <c r="E9" i="47" s="1"/>
  <c r="E10" i="47" s="1"/>
  <c r="E11" i="47" s="1"/>
  <c r="E12" i="47" s="1"/>
  <c r="E13" i="47" s="1"/>
  <c r="E14" i="47" s="1"/>
  <c r="E15" i="47" s="1"/>
  <c r="E16" i="47" s="1"/>
  <c r="E17" i="47" s="1"/>
  <c r="E18" i="47" s="1"/>
  <c r="E19" i="47" s="1"/>
  <c r="E20" i="47" s="1"/>
  <c r="B10" i="47"/>
  <c r="AU8" i="47"/>
  <c r="BA7" i="47"/>
  <c r="AW8" i="47"/>
  <c r="AM8" i="47"/>
  <c r="S9" i="47"/>
  <c r="AD9" i="47"/>
  <c r="BF9" i="47"/>
  <c r="BF10" i="47" s="1"/>
  <c r="BF11" i="47" s="1"/>
  <c r="BF12" i="47" s="1"/>
  <c r="BF13" i="47" s="1"/>
  <c r="BF14" i="47" s="1"/>
  <c r="BF15" i="47" s="1"/>
  <c r="BF16" i="47" s="1"/>
  <c r="BF17" i="47" s="1"/>
  <c r="BF18" i="47" s="1"/>
  <c r="BF19" i="47" s="1"/>
  <c r="BF20" i="47" s="1"/>
  <c r="BF21" i="47" s="1"/>
  <c r="BF22" i="47" s="1"/>
  <c r="BF23" i="47" s="1"/>
  <c r="BF24" i="47" s="1"/>
  <c r="BF25" i="47" s="1"/>
  <c r="BF26" i="47" s="1"/>
  <c r="BF27" i="47" s="1"/>
  <c r="BF28" i="47" s="1"/>
  <c r="BF29" i="47" s="1"/>
  <c r="BF30" i="47" s="1"/>
  <c r="BF31" i="47" s="1"/>
  <c r="BF32" i="47" s="1"/>
  <c r="BF33" i="47" s="1"/>
  <c r="BF34" i="47" s="1"/>
  <c r="BF35" i="47" s="1"/>
  <c r="BF36" i="47" s="1"/>
  <c r="BF37" i="47" s="1"/>
  <c r="BF38" i="47" s="1"/>
  <c r="BF39" i="47" s="1"/>
  <c r="BF40" i="47" s="1"/>
  <c r="BF41" i="47" s="1"/>
  <c r="BG7" i="49" l="1"/>
  <c r="AS4" i="16" s="1"/>
  <c r="H27" i="49"/>
  <c r="AO23" i="16"/>
  <c r="AC26" i="49"/>
  <c r="BE7" i="22"/>
  <c r="E26" i="62"/>
  <c r="AN10" i="52"/>
  <c r="AW10" i="52"/>
  <c r="BB7" i="16"/>
  <c r="I10" i="52"/>
  <c r="BC7" i="16" s="1"/>
  <c r="BA9" i="16"/>
  <c r="F11" i="52"/>
  <c r="AB11" i="52" s="1"/>
  <c r="E30" i="62"/>
  <c r="E31" i="62"/>
  <c r="E12" i="49"/>
  <c r="E13" i="49" s="1"/>
  <c r="E14" i="49" s="1"/>
  <c r="E15" i="49" s="1"/>
  <c r="E16" i="49" s="1"/>
  <c r="E17" i="49" s="1"/>
  <c r="E18" i="49" s="1"/>
  <c r="E19" i="49" s="1"/>
  <c r="E20" i="49" s="1"/>
  <c r="E21" i="49" s="1"/>
  <c r="E22" i="49" s="1"/>
  <c r="E23" i="49" s="1"/>
  <c r="E24" i="49" s="1"/>
  <c r="E25" i="49" s="1"/>
  <c r="E26" i="49" s="1"/>
  <c r="E27" i="49" s="1"/>
  <c r="E28" i="49" s="1"/>
  <c r="E29" i="49" s="1"/>
  <c r="E30" i="49" s="1"/>
  <c r="E31" i="49" s="1"/>
  <c r="E32" i="49" s="1"/>
  <c r="E33" i="49" s="1"/>
  <c r="E34" i="49" s="1"/>
  <c r="E35" i="49" s="1"/>
  <c r="E36" i="49" s="1"/>
  <c r="E37" i="49" s="1"/>
  <c r="E38" i="49" s="1"/>
  <c r="E39" i="49" s="1"/>
  <c r="E40" i="49" s="1"/>
  <c r="E41" i="49" s="1"/>
  <c r="E35" i="62"/>
  <c r="D8" i="22"/>
  <c r="BN8" i="52"/>
  <c r="AJ12" i="49"/>
  <c r="AJ13" i="49" s="1"/>
  <c r="AJ14" i="49" s="1"/>
  <c r="AJ15" i="49" s="1"/>
  <c r="AJ16" i="49" s="1"/>
  <c r="AJ17" i="49" s="1"/>
  <c r="AJ18" i="49" s="1"/>
  <c r="AJ19" i="49" s="1"/>
  <c r="AJ20" i="49" s="1"/>
  <c r="AJ21" i="49" s="1"/>
  <c r="AJ22" i="49" s="1"/>
  <c r="AJ23" i="49" s="1"/>
  <c r="AJ24" i="49" s="1"/>
  <c r="AJ25" i="49" s="1"/>
  <c r="AJ26" i="49" s="1"/>
  <c r="AJ27" i="49" s="1"/>
  <c r="AJ28" i="49" s="1"/>
  <c r="AJ29" i="49" s="1"/>
  <c r="AJ30" i="49" s="1"/>
  <c r="AJ31" i="49" s="1"/>
  <c r="AJ32" i="49" s="1"/>
  <c r="AJ33" i="49" s="1"/>
  <c r="AJ34" i="49" s="1"/>
  <c r="AJ35" i="49" s="1"/>
  <c r="AJ36" i="49" s="1"/>
  <c r="AJ37" i="49" s="1"/>
  <c r="AJ38" i="49" s="1"/>
  <c r="AJ39" i="49" s="1"/>
  <c r="AJ40" i="49" s="1"/>
  <c r="AJ41" i="49" s="1"/>
  <c r="AW7" i="22"/>
  <c r="BK7" i="22"/>
  <c r="AK7" i="22"/>
  <c r="Q9" i="22"/>
  <c r="Q10" i="22" s="1"/>
  <c r="Q11" i="22" s="1"/>
  <c r="Q12" i="22" s="1"/>
  <c r="Q13" i="22" s="1"/>
  <c r="Q14" i="22" s="1"/>
  <c r="Q15" i="22" s="1"/>
  <c r="Q16" i="22" s="1"/>
  <c r="Q17" i="22" s="1"/>
  <c r="Q18" i="22" s="1"/>
  <c r="Q19" i="22" s="1"/>
  <c r="Q20" i="22" s="1"/>
  <c r="Q21" i="22" s="1"/>
  <c r="Q22" i="22" s="1"/>
  <c r="Q23" i="22" s="1"/>
  <c r="Q24" i="22" s="1"/>
  <c r="Q25" i="22" s="1"/>
  <c r="Q26" i="22" s="1"/>
  <c r="Q27" i="22" s="1"/>
  <c r="Q28" i="22" s="1"/>
  <c r="Q29" i="22" s="1"/>
  <c r="Q30" i="22" s="1"/>
  <c r="Q31" i="22" s="1"/>
  <c r="Q32" i="22" s="1"/>
  <c r="Q33" i="22" s="1"/>
  <c r="Q34" i="22" s="1"/>
  <c r="Q35" i="22" s="1"/>
  <c r="Q36" i="22" s="1"/>
  <c r="Q37" i="22" s="1"/>
  <c r="Q38" i="22" s="1"/>
  <c r="Q39" i="22" s="1"/>
  <c r="Q40" i="22" s="1"/>
  <c r="Q41" i="22" s="1"/>
  <c r="BC8" i="22"/>
  <c r="I21" i="22"/>
  <c r="V8" i="22"/>
  <c r="U9" i="22"/>
  <c r="AQ9" i="52"/>
  <c r="AQ10" i="52" s="1"/>
  <c r="AQ11" i="52" s="1"/>
  <c r="AQ12" i="52" s="1"/>
  <c r="AQ13" i="52" s="1"/>
  <c r="AQ14" i="52" s="1"/>
  <c r="AQ15" i="52" s="1"/>
  <c r="AQ16" i="52" s="1"/>
  <c r="AQ17" i="52" s="1"/>
  <c r="AQ18" i="52" s="1"/>
  <c r="AQ19" i="52" s="1"/>
  <c r="AQ20" i="52" s="1"/>
  <c r="AQ21" i="52" s="1"/>
  <c r="AQ22" i="52" s="1"/>
  <c r="AQ23" i="52" s="1"/>
  <c r="AQ24" i="52" s="1"/>
  <c r="AQ25" i="52" s="1"/>
  <c r="AQ26" i="52" s="1"/>
  <c r="AQ27" i="52" s="1"/>
  <c r="AQ28" i="52" s="1"/>
  <c r="AQ29" i="52" s="1"/>
  <c r="AQ30" i="52" s="1"/>
  <c r="AQ31" i="52" s="1"/>
  <c r="AQ32" i="52" s="1"/>
  <c r="AQ33" i="52" s="1"/>
  <c r="AQ34" i="52" s="1"/>
  <c r="AQ35" i="52" s="1"/>
  <c r="AQ36" i="52" s="1"/>
  <c r="AQ37" i="52" s="1"/>
  <c r="AQ38" i="52" s="1"/>
  <c r="AQ39" i="52" s="1"/>
  <c r="AQ40" i="52" s="1"/>
  <c r="AQ41" i="52" s="1"/>
  <c r="AE9" i="52"/>
  <c r="AE10" i="52" s="1"/>
  <c r="AE11" i="52" s="1"/>
  <c r="AE12" i="52" s="1"/>
  <c r="AE13" i="52" s="1"/>
  <c r="AE14" i="52" s="1"/>
  <c r="AE15" i="52" s="1"/>
  <c r="AE16" i="52" s="1"/>
  <c r="AE17" i="52" s="1"/>
  <c r="AE18" i="52" s="1"/>
  <c r="AE19" i="52" s="1"/>
  <c r="AE20" i="52" s="1"/>
  <c r="AE21" i="52" s="1"/>
  <c r="AE22" i="52" s="1"/>
  <c r="AE23" i="52" s="1"/>
  <c r="AE24" i="52" s="1"/>
  <c r="AE25" i="52" s="1"/>
  <c r="AE26" i="52" s="1"/>
  <c r="AE27" i="52" s="1"/>
  <c r="AE28" i="52" s="1"/>
  <c r="AE29" i="52" s="1"/>
  <c r="AE30" i="52" s="1"/>
  <c r="AE31" i="52" s="1"/>
  <c r="AE32" i="52" s="1"/>
  <c r="AE33" i="52" s="1"/>
  <c r="AE34" i="52" s="1"/>
  <c r="AE35" i="52" s="1"/>
  <c r="AE36" i="52" s="1"/>
  <c r="AE37" i="52" s="1"/>
  <c r="AE38" i="52" s="1"/>
  <c r="AE39" i="52" s="1"/>
  <c r="AE40" i="52" s="1"/>
  <c r="AE41" i="52" s="1"/>
  <c r="AF8" i="52"/>
  <c r="AT9" i="52"/>
  <c r="AT10" i="52" s="1"/>
  <c r="AT11" i="52" s="1"/>
  <c r="AT12" i="52" s="1"/>
  <c r="AT13" i="52" s="1"/>
  <c r="AT14" i="52" s="1"/>
  <c r="AT15" i="52" s="1"/>
  <c r="AT16" i="52" s="1"/>
  <c r="AT17" i="52" s="1"/>
  <c r="AT18" i="52" s="1"/>
  <c r="AT19" i="52" s="1"/>
  <c r="AT20" i="52" s="1"/>
  <c r="AT21" i="52" s="1"/>
  <c r="AT22" i="52" s="1"/>
  <c r="AT23" i="52" s="1"/>
  <c r="AT24" i="52" s="1"/>
  <c r="AT25" i="52" s="1"/>
  <c r="AT26" i="52" s="1"/>
  <c r="AT27" i="52" s="1"/>
  <c r="AT28" i="52" s="1"/>
  <c r="AT29" i="52" s="1"/>
  <c r="AT30" i="52" s="1"/>
  <c r="AT31" i="52" s="1"/>
  <c r="AT32" i="52" s="1"/>
  <c r="AT33" i="52" s="1"/>
  <c r="AT34" i="52" s="1"/>
  <c r="AT35" i="52" s="1"/>
  <c r="AT36" i="52" s="1"/>
  <c r="AT37" i="52" s="1"/>
  <c r="AT38" i="52" s="1"/>
  <c r="AT39" i="52" s="1"/>
  <c r="AT40" i="52" s="1"/>
  <c r="AT41" i="52" s="1"/>
  <c r="AA9" i="52"/>
  <c r="AA10" i="52" s="1"/>
  <c r="AA11" i="52" s="1"/>
  <c r="AS12" i="52"/>
  <c r="E9" i="52"/>
  <c r="AP10" i="52"/>
  <c r="E23" i="52"/>
  <c r="AH12" i="52"/>
  <c r="AD11" i="52"/>
  <c r="B11" i="52"/>
  <c r="BM11" i="52" s="1"/>
  <c r="K11" i="52"/>
  <c r="M10" i="52"/>
  <c r="O10" i="52"/>
  <c r="Q9" i="52"/>
  <c r="AM9" i="52"/>
  <c r="Y9" i="52"/>
  <c r="H8" i="52"/>
  <c r="Y10" i="52"/>
  <c r="W11" i="52"/>
  <c r="S12" i="52"/>
  <c r="U11" i="52"/>
  <c r="J8" i="49"/>
  <c r="AR9" i="49"/>
  <c r="AR10" i="49" s="1"/>
  <c r="AN9" i="49"/>
  <c r="AN10" i="49" s="1"/>
  <c r="AN11" i="49" s="1"/>
  <c r="AU9" i="49"/>
  <c r="AU10" i="49" s="1"/>
  <c r="AU11" i="49" s="1"/>
  <c r="AU12" i="49" s="1"/>
  <c r="AU13" i="49" s="1"/>
  <c r="AU14" i="49" s="1"/>
  <c r="AU15" i="49" s="1"/>
  <c r="AU16" i="49" s="1"/>
  <c r="AU17" i="49" s="1"/>
  <c r="AU18" i="49" s="1"/>
  <c r="AU19" i="49" s="1"/>
  <c r="AU20" i="49" s="1"/>
  <c r="AU21" i="49" s="1"/>
  <c r="AU22" i="49" s="1"/>
  <c r="AU23" i="49" s="1"/>
  <c r="AU24" i="49" s="1"/>
  <c r="AU25" i="49" s="1"/>
  <c r="AU26" i="49" s="1"/>
  <c r="AU27" i="49" s="1"/>
  <c r="AU28" i="49" s="1"/>
  <c r="AU29" i="49" s="1"/>
  <c r="AU30" i="49" s="1"/>
  <c r="AU31" i="49" s="1"/>
  <c r="AU32" i="49" s="1"/>
  <c r="AU33" i="49" s="1"/>
  <c r="AU34" i="49" s="1"/>
  <c r="AU35" i="49" s="1"/>
  <c r="AU36" i="49" s="1"/>
  <c r="AU37" i="49" s="1"/>
  <c r="AU38" i="49" s="1"/>
  <c r="AU39" i="49" s="1"/>
  <c r="AU40" i="49" s="1"/>
  <c r="AU41" i="49" s="1"/>
  <c r="AO8" i="49"/>
  <c r="V11" i="49"/>
  <c r="T12" i="49"/>
  <c r="AE11" i="49"/>
  <c r="AB9" i="49"/>
  <c r="AX8" i="49"/>
  <c r="AY8" i="49" s="1"/>
  <c r="P11" i="49"/>
  <c r="R10" i="49"/>
  <c r="AQ12" i="49"/>
  <c r="C11" i="49"/>
  <c r="AI11" i="49"/>
  <c r="AL10" i="49"/>
  <c r="X10" i="49"/>
  <c r="Z9" i="49"/>
  <c r="AT11" i="49"/>
  <c r="L11" i="49"/>
  <c r="N10" i="49"/>
  <c r="AF9" i="49"/>
  <c r="AG8" i="49"/>
  <c r="L9" i="22"/>
  <c r="N8" i="22"/>
  <c r="T12" i="22"/>
  <c r="P11" i="22"/>
  <c r="AE12" i="22"/>
  <c r="I22" i="22"/>
  <c r="BC21" i="22"/>
  <c r="X9" i="22"/>
  <c r="Z8" i="22"/>
  <c r="AT11" i="22"/>
  <c r="BC41" i="22"/>
  <c r="AH9" i="22"/>
  <c r="AM9" i="22"/>
  <c r="AO8" i="22"/>
  <c r="AQ10" i="22"/>
  <c r="AY11" i="22"/>
  <c r="AP11" i="42"/>
  <c r="Q10" i="47"/>
  <c r="AW23" i="47"/>
  <c r="AQ9" i="47"/>
  <c r="AT9" i="47"/>
  <c r="AT10" i="47" s="1"/>
  <c r="AT11" i="47" s="1"/>
  <c r="AT12" i="47" s="1"/>
  <c r="AT13" i="47" s="1"/>
  <c r="AT14" i="47" s="1"/>
  <c r="AT15" i="47" s="1"/>
  <c r="AT16" i="47" s="1"/>
  <c r="AT17" i="47" s="1"/>
  <c r="AT18" i="47" s="1"/>
  <c r="AT19" i="47" s="1"/>
  <c r="AT20" i="47" s="1"/>
  <c r="AT21" i="47" s="1"/>
  <c r="AT22" i="47" s="1"/>
  <c r="AT23" i="47" s="1"/>
  <c r="AT24" i="47" s="1"/>
  <c r="AT25" i="47" s="1"/>
  <c r="AT26" i="47" s="1"/>
  <c r="AT27" i="47" s="1"/>
  <c r="AT28" i="47" s="1"/>
  <c r="AT29" i="47" s="1"/>
  <c r="AT30" i="47" s="1"/>
  <c r="AT31" i="47" s="1"/>
  <c r="AT32" i="47" s="1"/>
  <c r="AT33" i="47" s="1"/>
  <c r="AT34" i="47" s="1"/>
  <c r="AT35" i="47" s="1"/>
  <c r="AT36" i="47" s="1"/>
  <c r="AT37" i="47" s="1"/>
  <c r="AT38" i="47" s="1"/>
  <c r="AT39" i="47" s="1"/>
  <c r="AT40" i="47" s="1"/>
  <c r="AT41" i="47" s="1"/>
  <c r="AP11" i="47"/>
  <c r="H8" i="47"/>
  <c r="H9" i="47"/>
  <c r="C11" i="47"/>
  <c r="AW9" i="47"/>
  <c r="AU10" i="47"/>
  <c r="AS11" i="47"/>
  <c r="I8" i="47"/>
  <c r="AU9" i="47"/>
  <c r="AH10" i="47"/>
  <c r="AK9" i="47"/>
  <c r="O12" i="47"/>
  <c r="Q11" i="47"/>
  <c r="AD10" i="47"/>
  <c r="B11" i="47"/>
  <c r="H10" i="47"/>
  <c r="AN8" i="47"/>
  <c r="BC8" i="47" s="1"/>
  <c r="AM9" i="47"/>
  <c r="AB8" i="47"/>
  <c r="AY8" i="47" s="1"/>
  <c r="AA9" i="47"/>
  <c r="W10" i="47"/>
  <c r="Y9" i="47"/>
  <c r="U9" i="47"/>
  <c r="S10" i="47"/>
  <c r="AE9" i="47"/>
  <c r="AE10" i="47" s="1"/>
  <c r="AE11" i="47" s="1"/>
  <c r="AE12" i="47" s="1"/>
  <c r="AE13" i="47" s="1"/>
  <c r="AE14" i="47" s="1"/>
  <c r="AE15" i="47" s="1"/>
  <c r="AE16" i="47" s="1"/>
  <c r="AE17" i="47" s="1"/>
  <c r="AE18" i="47" s="1"/>
  <c r="AE19" i="47" s="1"/>
  <c r="AE20" i="47" s="1"/>
  <c r="AE21" i="47" s="1"/>
  <c r="AE22" i="47" s="1"/>
  <c r="AE23" i="47" s="1"/>
  <c r="AE24" i="47" s="1"/>
  <c r="AE25" i="47" s="1"/>
  <c r="AE26" i="47" s="1"/>
  <c r="AE27" i="47" s="1"/>
  <c r="AE28" i="47" s="1"/>
  <c r="AE29" i="47" s="1"/>
  <c r="AE30" i="47" s="1"/>
  <c r="AE31" i="47" s="1"/>
  <c r="AE32" i="47" s="1"/>
  <c r="AE33" i="47" s="1"/>
  <c r="AE34" i="47" s="1"/>
  <c r="AE35" i="47" s="1"/>
  <c r="AE36" i="47" s="1"/>
  <c r="AE37" i="47" s="1"/>
  <c r="AE38" i="47" s="1"/>
  <c r="AE39" i="47" s="1"/>
  <c r="AE40" i="47" s="1"/>
  <c r="AE41" i="47" s="1"/>
  <c r="M11" i="47"/>
  <c r="K12" i="47"/>
  <c r="AW24" i="47"/>
  <c r="BF7" i="22" l="1"/>
  <c r="BL7" i="22"/>
  <c r="AG4" i="16" s="1"/>
  <c r="O50" i="66" s="1"/>
  <c r="BG8" i="49"/>
  <c r="H28" i="49"/>
  <c r="AC27" i="49"/>
  <c r="AO24" i="16"/>
  <c r="AN11" i="52"/>
  <c r="AW11" i="52"/>
  <c r="BB8" i="16"/>
  <c r="I11" i="52"/>
  <c r="BC8" i="16" s="1"/>
  <c r="BA10" i="16"/>
  <c r="F12" i="52"/>
  <c r="AB12" i="52" s="1"/>
  <c r="AF9" i="52"/>
  <c r="E36" i="62"/>
  <c r="BA8" i="49"/>
  <c r="E41" i="62"/>
  <c r="BI7" i="22"/>
  <c r="AE4" i="16"/>
  <c r="AR9" i="52"/>
  <c r="BN9" i="52"/>
  <c r="BF8" i="49"/>
  <c r="BH7" i="22"/>
  <c r="I8" i="22"/>
  <c r="J8" i="22"/>
  <c r="BC9" i="22"/>
  <c r="R9" i="22"/>
  <c r="R10" i="22"/>
  <c r="U10" i="22"/>
  <c r="V9" i="22"/>
  <c r="AU11" i="52"/>
  <c r="AU10" i="52"/>
  <c r="AF10" i="52"/>
  <c r="AU9" i="52"/>
  <c r="U12" i="52"/>
  <c r="S13" i="52"/>
  <c r="K12" i="52"/>
  <c r="M11" i="52"/>
  <c r="AD12" i="52"/>
  <c r="AF11" i="52"/>
  <c r="E24" i="52"/>
  <c r="AU12" i="52"/>
  <c r="AS13" i="52"/>
  <c r="O11" i="52"/>
  <c r="Q10" i="52"/>
  <c r="AH13" i="52"/>
  <c r="AA12" i="52"/>
  <c r="Y11" i="52"/>
  <c r="W12" i="52"/>
  <c r="E10" i="52"/>
  <c r="H9" i="52"/>
  <c r="AP11" i="52"/>
  <c r="AR10" i="52"/>
  <c r="AM10" i="52"/>
  <c r="B12" i="52"/>
  <c r="BM12" i="52" s="1"/>
  <c r="J9" i="49"/>
  <c r="AV10" i="49"/>
  <c r="AV9" i="49"/>
  <c r="AS9" i="49"/>
  <c r="AX22" i="49"/>
  <c r="L12" i="49"/>
  <c r="N11" i="49"/>
  <c r="AQ13" i="49"/>
  <c r="P12" i="49"/>
  <c r="R11" i="49"/>
  <c r="AX9" i="49"/>
  <c r="AY9" i="49" s="1"/>
  <c r="AO9" i="49"/>
  <c r="AT12" i="49"/>
  <c r="AV11" i="49"/>
  <c r="AN12" i="49"/>
  <c r="AF10" i="49"/>
  <c r="AG9" i="49"/>
  <c r="C12" i="49"/>
  <c r="AB10" i="49"/>
  <c r="X11" i="49"/>
  <c r="Z10" i="49"/>
  <c r="AE12" i="49"/>
  <c r="V12" i="49"/>
  <c r="T13" i="49"/>
  <c r="AR11" i="49"/>
  <c r="AS10" i="49"/>
  <c r="AL11" i="49"/>
  <c r="AI12" i="49"/>
  <c r="AQ11" i="22"/>
  <c r="AT12" i="22"/>
  <c r="BC22" i="22"/>
  <c r="I23" i="22"/>
  <c r="AM10" i="22"/>
  <c r="AO9" i="22"/>
  <c r="J9" i="22"/>
  <c r="T13" i="22"/>
  <c r="P12" i="22"/>
  <c r="R11" i="22"/>
  <c r="X10" i="22"/>
  <c r="Z9" i="22"/>
  <c r="AE13" i="22"/>
  <c r="AH10" i="22"/>
  <c r="L10" i="22"/>
  <c r="N9" i="22"/>
  <c r="AY12" i="22"/>
  <c r="AP12" i="42"/>
  <c r="AP12" i="47"/>
  <c r="AQ10" i="47"/>
  <c r="AR9" i="47"/>
  <c r="BA8" i="47"/>
  <c r="AU11" i="47"/>
  <c r="AS12" i="47"/>
  <c r="U10" i="47"/>
  <c r="S11" i="47"/>
  <c r="O13" i="47"/>
  <c r="Q12" i="47"/>
  <c r="B12" i="47"/>
  <c r="H11" i="47"/>
  <c r="AD11" i="47"/>
  <c r="AF10" i="47"/>
  <c r="AF9" i="47"/>
  <c r="AW10" i="47"/>
  <c r="I9" i="47"/>
  <c r="W11" i="47"/>
  <c r="Y10" i="47"/>
  <c r="AM10" i="47"/>
  <c r="AN9" i="47"/>
  <c r="BC9" i="47" s="1"/>
  <c r="AW25" i="47"/>
  <c r="AK10" i="47"/>
  <c r="AH11" i="47"/>
  <c r="AA10" i="47"/>
  <c r="AB9" i="47"/>
  <c r="M12" i="47"/>
  <c r="K13" i="47"/>
  <c r="C12" i="47"/>
  <c r="BG9" i="49" l="1"/>
  <c r="H29" i="49"/>
  <c r="AC28" i="49"/>
  <c r="AO25" i="16"/>
  <c r="AN12" i="52"/>
  <c r="AW12" i="52"/>
  <c r="BB9" i="16"/>
  <c r="I12" i="52"/>
  <c r="BC9" i="16" s="1"/>
  <c r="BA11" i="16"/>
  <c r="F13" i="52"/>
  <c r="AB13" i="52" s="1"/>
  <c r="BA9" i="49"/>
  <c r="AF4" i="16"/>
  <c r="E42" i="62"/>
  <c r="BD8" i="49"/>
  <c r="BN10" i="52"/>
  <c r="BF9" i="49"/>
  <c r="J10" i="22"/>
  <c r="I9" i="22"/>
  <c r="U11" i="22"/>
  <c r="V10" i="22"/>
  <c r="S14" i="52"/>
  <c r="U13" i="52"/>
  <c r="B13" i="52"/>
  <c r="BM13" i="52" s="1"/>
  <c r="E25" i="52"/>
  <c r="E11" i="52"/>
  <c r="H10" i="52"/>
  <c r="AA13" i="52"/>
  <c r="AP12" i="52"/>
  <c r="AR11" i="52"/>
  <c r="AS14" i="52"/>
  <c r="AU13" i="52"/>
  <c r="AM11" i="52"/>
  <c r="W13" i="52"/>
  <c r="Y12" i="52"/>
  <c r="AH14" i="52"/>
  <c r="AF12" i="52"/>
  <c r="AD13" i="52"/>
  <c r="Q11" i="52"/>
  <c r="O12" i="52"/>
  <c r="M12" i="52"/>
  <c r="K13" i="52"/>
  <c r="J10" i="49"/>
  <c r="AE13" i="49"/>
  <c r="R12" i="49"/>
  <c r="P13" i="49"/>
  <c r="AI13" i="49"/>
  <c r="AL12" i="49"/>
  <c r="AQ14" i="49"/>
  <c r="AN13" i="49"/>
  <c r="AB11" i="49"/>
  <c r="L13" i="49"/>
  <c r="N12" i="49"/>
  <c r="AR12" i="49"/>
  <c r="AS11" i="49"/>
  <c r="AT13" i="49"/>
  <c r="AV12" i="49"/>
  <c r="AF11" i="49"/>
  <c r="AG10" i="49"/>
  <c r="Z11" i="49"/>
  <c r="X12" i="49"/>
  <c r="T14" i="49"/>
  <c r="V13" i="49"/>
  <c r="AX23" i="49"/>
  <c r="AX10" i="49"/>
  <c r="AY10" i="49" s="1"/>
  <c r="AO10" i="49"/>
  <c r="C13" i="49"/>
  <c r="AY13" i="22"/>
  <c r="Z10" i="22"/>
  <c r="X11" i="22"/>
  <c r="BC10" i="22"/>
  <c r="AT13" i="22"/>
  <c r="L11" i="22"/>
  <c r="N10" i="22"/>
  <c r="T14" i="22"/>
  <c r="AH11" i="22"/>
  <c r="R12" i="22"/>
  <c r="P13" i="22"/>
  <c r="AO10" i="22"/>
  <c r="AM11" i="22"/>
  <c r="AE14" i="22"/>
  <c r="BC23" i="22"/>
  <c r="I24" i="22"/>
  <c r="AQ12" i="22"/>
  <c r="AY9" i="47"/>
  <c r="AP13" i="42"/>
  <c r="AQ11" i="47"/>
  <c r="AR10" i="47"/>
  <c r="AP13" i="47"/>
  <c r="BA9" i="47"/>
  <c r="O14" i="47"/>
  <c r="Q13" i="47"/>
  <c r="AM11" i="47"/>
  <c r="AN10" i="47"/>
  <c r="BC10" i="47" s="1"/>
  <c r="M13" i="47"/>
  <c r="K14" i="47"/>
  <c r="U11" i="47"/>
  <c r="S12" i="47"/>
  <c r="AB10" i="47"/>
  <c r="AA11" i="47"/>
  <c r="AH12" i="47"/>
  <c r="AK11" i="47"/>
  <c r="Y11" i="47"/>
  <c r="W12" i="47"/>
  <c r="B13" i="47"/>
  <c r="H12" i="47"/>
  <c r="AD12" i="47"/>
  <c r="AF11" i="47"/>
  <c r="AW11" i="47"/>
  <c r="I10" i="47"/>
  <c r="AU12" i="47"/>
  <c r="AS13" i="47"/>
  <c r="C13" i="47"/>
  <c r="AW26" i="47"/>
  <c r="BG10" i="49" l="1"/>
  <c r="H30" i="49"/>
  <c r="AO26" i="16"/>
  <c r="AC29" i="49"/>
  <c r="AN13" i="52"/>
  <c r="AW13" i="52"/>
  <c r="BB10" i="16"/>
  <c r="I13" i="52"/>
  <c r="BC10" i="16" s="1"/>
  <c r="BA12" i="16"/>
  <c r="F14" i="52"/>
  <c r="AB14" i="52" s="1"/>
  <c r="AY10" i="47"/>
  <c r="BA10" i="49"/>
  <c r="BN11" i="52"/>
  <c r="BF10" i="49"/>
  <c r="I11" i="22"/>
  <c r="I10" i="22"/>
  <c r="U12" i="22"/>
  <c r="V11" i="22"/>
  <c r="K14" i="52"/>
  <c r="M13" i="52"/>
  <c r="S15" i="52"/>
  <c r="U14" i="52"/>
  <c r="W14" i="52"/>
  <c r="Y13" i="52"/>
  <c r="AP13" i="52"/>
  <c r="AR12" i="52"/>
  <c r="E26" i="52"/>
  <c r="O13" i="52"/>
  <c r="Q12" i="52"/>
  <c r="AM12" i="52"/>
  <c r="AA14" i="52"/>
  <c r="E12" i="52"/>
  <c r="H11" i="52"/>
  <c r="AD14" i="52"/>
  <c r="AF13" i="52"/>
  <c r="AS15" i="52"/>
  <c r="AU14" i="52"/>
  <c r="B14" i="52"/>
  <c r="BM14" i="52" s="1"/>
  <c r="AH15" i="52"/>
  <c r="BD9" i="49"/>
  <c r="J11" i="49"/>
  <c r="AF12" i="49"/>
  <c r="AG11" i="49"/>
  <c r="AB12" i="49"/>
  <c r="AQ15" i="49"/>
  <c r="AX24" i="49"/>
  <c r="C14" i="49"/>
  <c r="AT14" i="49"/>
  <c r="AV13" i="49"/>
  <c r="AI14" i="49"/>
  <c r="AL13" i="49"/>
  <c r="T15" i="49"/>
  <c r="V14" i="49"/>
  <c r="R13" i="49"/>
  <c r="P14" i="49"/>
  <c r="X13" i="49"/>
  <c r="Z12" i="49"/>
  <c r="AR13" i="49"/>
  <c r="AS12" i="49"/>
  <c r="AN14" i="49"/>
  <c r="AX11" i="49"/>
  <c r="AY11" i="49" s="1"/>
  <c r="AO11" i="49"/>
  <c r="AE14" i="49"/>
  <c r="N13" i="49"/>
  <c r="L14" i="49"/>
  <c r="BC24" i="22"/>
  <c r="I25" i="22"/>
  <c r="T15" i="22"/>
  <c r="AY14" i="22"/>
  <c r="AM12" i="22"/>
  <c r="P14" i="22"/>
  <c r="R13" i="22"/>
  <c r="N11" i="22"/>
  <c r="L12" i="22"/>
  <c r="X12" i="22"/>
  <c r="Z11" i="22"/>
  <c r="AE15" i="22"/>
  <c r="AT14" i="22"/>
  <c r="AQ13" i="22"/>
  <c r="AH12" i="22"/>
  <c r="I12" i="22"/>
  <c r="BC11" i="22"/>
  <c r="AP14" i="42"/>
  <c r="AP14" i="47"/>
  <c r="AQ12" i="47"/>
  <c r="AR11" i="47"/>
  <c r="BA10" i="47"/>
  <c r="Y12" i="47"/>
  <c r="W13" i="47"/>
  <c r="AF12" i="47"/>
  <c r="AD13" i="47"/>
  <c r="AN11" i="47"/>
  <c r="BC11" i="47" s="1"/>
  <c r="AM12" i="47"/>
  <c r="AW12" i="47"/>
  <c r="I11" i="47"/>
  <c r="C14" i="47"/>
  <c r="AB11" i="47"/>
  <c r="AY11" i="47" s="1"/>
  <c r="AA12" i="47"/>
  <c r="AW27" i="47"/>
  <c r="S13" i="47"/>
  <c r="U12" i="47"/>
  <c r="B14" i="47"/>
  <c r="H13" i="47"/>
  <c r="M14" i="47"/>
  <c r="K15" i="47"/>
  <c r="AU13" i="47"/>
  <c r="AS14" i="47"/>
  <c r="AH13" i="47"/>
  <c r="AK12" i="47"/>
  <c r="O15" i="47"/>
  <c r="Q14" i="47"/>
  <c r="BG11" i="49" l="1"/>
  <c r="H31" i="49"/>
  <c r="AC30" i="49"/>
  <c r="AO27" i="16"/>
  <c r="AN14" i="52"/>
  <c r="AW14" i="52"/>
  <c r="BB11" i="16"/>
  <c r="I14" i="52"/>
  <c r="BC11" i="16" s="1"/>
  <c r="BA13" i="16"/>
  <c r="F15" i="52"/>
  <c r="AB15" i="52" s="1"/>
  <c r="BA11" i="49"/>
  <c r="BN12" i="52"/>
  <c r="BF11" i="49"/>
  <c r="BD10" i="49"/>
  <c r="U13" i="22"/>
  <c r="V12" i="22"/>
  <c r="AH16" i="52"/>
  <c r="M14" i="52"/>
  <c r="K15" i="52"/>
  <c r="B15" i="52"/>
  <c r="BM15" i="52" s="1"/>
  <c r="AM13" i="52"/>
  <c r="W15" i="52"/>
  <c r="Y14" i="52"/>
  <c r="AR13" i="52"/>
  <c r="AP14" i="52"/>
  <c r="E13" i="52"/>
  <c r="H12" i="52"/>
  <c r="AU15" i="52"/>
  <c r="AS16" i="52"/>
  <c r="S16" i="52"/>
  <c r="U15" i="52"/>
  <c r="AD15" i="52"/>
  <c r="AF14" i="52"/>
  <c r="Q13" i="52"/>
  <c r="O14" i="52"/>
  <c r="E27" i="52"/>
  <c r="AA15" i="52"/>
  <c r="J12" i="49"/>
  <c r="AL14" i="49"/>
  <c r="AI15" i="49"/>
  <c r="Z13" i="49"/>
  <c r="X14" i="49"/>
  <c r="AQ16" i="49"/>
  <c r="N14" i="49"/>
  <c r="L15" i="49"/>
  <c r="P15" i="49"/>
  <c r="R14" i="49"/>
  <c r="AT15" i="49"/>
  <c r="AV14" i="49"/>
  <c r="AX12" i="49"/>
  <c r="AY12" i="49" s="1"/>
  <c r="AO12" i="49"/>
  <c r="C15" i="49"/>
  <c r="AN15" i="49"/>
  <c r="AX25" i="49"/>
  <c r="AB13" i="49"/>
  <c r="AE15" i="49"/>
  <c r="V15" i="49"/>
  <c r="T16" i="49"/>
  <c r="AR14" i="49"/>
  <c r="AS13" i="49"/>
  <c r="AF13" i="49"/>
  <c r="AG12" i="49"/>
  <c r="X13" i="22"/>
  <c r="Z12" i="22"/>
  <c r="AM13" i="22"/>
  <c r="I13" i="22"/>
  <c r="BC12" i="22"/>
  <c r="AY15" i="22"/>
  <c r="L13" i="22"/>
  <c r="N12" i="22"/>
  <c r="AT15" i="22"/>
  <c r="AE16" i="22"/>
  <c r="AH13" i="22"/>
  <c r="T16" i="22"/>
  <c r="AQ14" i="22"/>
  <c r="P15" i="22"/>
  <c r="R14" i="22"/>
  <c r="BC25" i="22"/>
  <c r="I26" i="22"/>
  <c r="AP15" i="42"/>
  <c r="AQ13" i="47"/>
  <c r="AR12" i="47"/>
  <c r="AP15" i="47"/>
  <c r="O16" i="47"/>
  <c r="Q15" i="47"/>
  <c r="AW13" i="47"/>
  <c r="I12" i="47"/>
  <c r="AN12" i="47"/>
  <c r="BC12" i="47" s="1"/>
  <c r="AM13" i="47"/>
  <c r="B15" i="47"/>
  <c r="H14" i="47"/>
  <c r="AH14" i="47"/>
  <c r="AK13" i="47"/>
  <c r="S14" i="47"/>
  <c r="U13" i="47"/>
  <c r="AU14" i="47"/>
  <c r="AS15" i="47"/>
  <c r="AW28" i="47"/>
  <c r="M15" i="47"/>
  <c r="K16" i="47"/>
  <c r="C15" i="47"/>
  <c r="BA11" i="47"/>
  <c r="Y13" i="47"/>
  <c r="W14" i="47"/>
  <c r="AB12" i="47"/>
  <c r="AY12" i="47" s="1"/>
  <c r="AA13" i="47"/>
  <c r="AD14" i="47"/>
  <c r="AF13" i="47"/>
  <c r="BG12" i="49" l="1"/>
  <c r="H32" i="49"/>
  <c r="AO28" i="16"/>
  <c r="AC31" i="49"/>
  <c r="AN15" i="52"/>
  <c r="AW15" i="52"/>
  <c r="BB12" i="16"/>
  <c r="I15" i="52"/>
  <c r="BC12" i="16" s="1"/>
  <c r="BA14" i="16"/>
  <c r="F16" i="52"/>
  <c r="AB16" i="52" s="1"/>
  <c r="BA12" i="49"/>
  <c r="BF12" i="49"/>
  <c r="BN13" i="52"/>
  <c r="U14" i="22"/>
  <c r="V13" i="22"/>
  <c r="AM14" i="52"/>
  <c r="AA16" i="52"/>
  <c r="S17" i="52"/>
  <c r="U16" i="52"/>
  <c r="E14" i="52"/>
  <c r="H13" i="52"/>
  <c r="AD16" i="52"/>
  <c r="AF15" i="52"/>
  <c r="B16" i="52"/>
  <c r="BM16" i="52" s="1"/>
  <c r="O15" i="52"/>
  <c r="Q14" i="52"/>
  <c r="K16" i="52"/>
  <c r="M15" i="52"/>
  <c r="AS17" i="52"/>
  <c r="AU16" i="52"/>
  <c r="AH17" i="52"/>
  <c r="E28" i="52"/>
  <c r="AP15" i="52"/>
  <c r="AR14" i="52"/>
  <c r="Y15" i="52"/>
  <c r="W16" i="52"/>
  <c r="BD11" i="49"/>
  <c r="J13" i="49"/>
  <c r="AV15" i="49"/>
  <c r="AT16" i="49"/>
  <c r="AR15" i="49"/>
  <c r="AS14" i="49"/>
  <c r="C16" i="49"/>
  <c r="R15" i="49"/>
  <c r="P16" i="49"/>
  <c r="AB14" i="49"/>
  <c r="AX13" i="49"/>
  <c r="AY13" i="49" s="1"/>
  <c r="AO13" i="49"/>
  <c r="AI16" i="49"/>
  <c r="AL15" i="49"/>
  <c r="AX26" i="49"/>
  <c r="AE16" i="49"/>
  <c r="AQ17" i="49"/>
  <c r="L16" i="49"/>
  <c r="N15" i="49"/>
  <c r="T17" i="49"/>
  <c r="V16" i="49"/>
  <c r="AF14" i="49"/>
  <c r="AG13" i="49"/>
  <c r="AN16" i="49"/>
  <c r="X15" i="49"/>
  <c r="Z14" i="49"/>
  <c r="I27" i="22"/>
  <c r="BC26" i="22"/>
  <c r="AY16" i="22"/>
  <c r="AM14" i="22"/>
  <c r="P16" i="22"/>
  <c r="R15" i="22"/>
  <c r="Z13" i="22"/>
  <c r="X14" i="22"/>
  <c r="I14" i="22"/>
  <c r="BC13" i="22"/>
  <c r="AT16" i="22"/>
  <c r="T17" i="22"/>
  <c r="AH14" i="22"/>
  <c r="AQ15" i="22"/>
  <c r="AE17" i="22"/>
  <c r="L14" i="22"/>
  <c r="N13" i="22"/>
  <c r="AP16" i="42"/>
  <c r="AP16" i="47"/>
  <c r="AQ14" i="47"/>
  <c r="AR13" i="47"/>
  <c r="B16" i="47"/>
  <c r="H15" i="47"/>
  <c r="AN13" i="47"/>
  <c r="BC13" i="47" s="1"/>
  <c r="AM14" i="47"/>
  <c r="AD15" i="47"/>
  <c r="AF14" i="47"/>
  <c r="C16" i="47"/>
  <c r="AW14" i="47"/>
  <c r="I13" i="47"/>
  <c r="K17" i="47"/>
  <c r="M16" i="47"/>
  <c r="BA12" i="47"/>
  <c r="AB13" i="47"/>
  <c r="AA14" i="47"/>
  <c r="AH15" i="47"/>
  <c r="AK14" i="47"/>
  <c r="AW29" i="47"/>
  <c r="U14" i="47"/>
  <c r="S15" i="47"/>
  <c r="Y14" i="47"/>
  <c r="W15" i="47"/>
  <c r="AS16" i="47"/>
  <c r="AU15" i="47"/>
  <c r="O17" i="47"/>
  <c r="Q16" i="47"/>
  <c r="BG13" i="49" l="1"/>
  <c r="H33" i="49"/>
  <c r="AO29" i="16"/>
  <c r="AC32" i="49"/>
  <c r="AN16" i="52"/>
  <c r="AW16" i="52"/>
  <c r="BB13" i="16"/>
  <c r="I16" i="52"/>
  <c r="BC13" i="16" s="1"/>
  <c r="BA15" i="16"/>
  <c r="F17" i="52"/>
  <c r="AB17" i="52" s="1"/>
  <c r="AY13" i="47"/>
  <c r="BA13" i="47" s="1"/>
  <c r="BA13" i="49"/>
  <c r="BF13" i="49"/>
  <c r="BN14" i="52"/>
  <c r="U15" i="22"/>
  <c r="V14" i="22"/>
  <c r="AH18" i="52"/>
  <c r="E15" i="52"/>
  <c r="H14" i="52"/>
  <c r="O16" i="52"/>
  <c r="Q15" i="52"/>
  <c r="E29" i="52"/>
  <c r="AM15" i="52"/>
  <c r="Y16" i="52"/>
  <c r="W17" i="52"/>
  <c r="K17" i="52"/>
  <c r="M16" i="52"/>
  <c r="U17" i="52"/>
  <c r="S18" i="52"/>
  <c r="AR15" i="52"/>
  <c r="AP16" i="52"/>
  <c r="B17" i="52"/>
  <c r="BM17" i="52" s="1"/>
  <c r="AU17" i="52"/>
  <c r="AS18" i="52"/>
  <c r="AD17" i="52"/>
  <c r="AF16" i="52"/>
  <c r="AA17" i="52"/>
  <c r="J14" i="49"/>
  <c r="BD12" i="49"/>
  <c r="X16" i="49"/>
  <c r="Z15" i="49"/>
  <c r="L17" i="49"/>
  <c r="N16" i="49"/>
  <c r="AN17" i="49"/>
  <c r="AQ18" i="49"/>
  <c r="AI17" i="49"/>
  <c r="AL16" i="49"/>
  <c r="C17" i="49"/>
  <c r="AB15" i="49"/>
  <c r="AF15" i="49"/>
  <c r="AG14" i="49"/>
  <c r="AE17" i="49"/>
  <c r="P17" i="49"/>
  <c r="R16" i="49"/>
  <c r="AR16" i="49"/>
  <c r="AS15" i="49"/>
  <c r="AX14" i="49"/>
  <c r="AY14" i="49" s="1"/>
  <c r="AO14" i="49"/>
  <c r="AV16" i="49"/>
  <c r="AT17" i="49"/>
  <c r="T18" i="49"/>
  <c r="V17" i="49"/>
  <c r="AX27" i="49"/>
  <c r="AE18" i="22"/>
  <c r="AH15" i="22"/>
  <c r="AM15" i="22"/>
  <c r="AY17" i="22"/>
  <c r="AT17" i="22"/>
  <c r="AQ16" i="22"/>
  <c r="Z14" i="22"/>
  <c r="X15" i="22"/>
  <c r="R16" i="22"/>
  <c r="P17" i="22"/>
  <c r="BC14" i="22"/>
  <c r="I15" i="22"/>
  <c r="L15" i="22"/>
  <c r="N14" i="22"/>
  <c r="T18" i="22"/>
  <c r="I28" i="22"/>
  <c r="BC27" i="22"/>
  <c r="AP17" i="42"/>
  <c r="AP17" i="47"/>
  <c r="AQ15" i="47"/>
  <c r="AR14" i="47"/>
  <c r="B17" i="47"/>
  <c r="H16" i="47"/>
  <c r="O18" i="47"/>
  <c r="Q17" i="47"/>
  <c r="AB14" i="47"/>
  <c r="AA15" i="47"/>
  <c r="AW15" i="47"/>
  <c r="I14" i="47"/>
  <c r="C17" i="47"/>
  <c r="AU16" i="47"/>
  <c r="AS17" i="47"/>
  <c r="W16" i="47"/>
  <c r="Y15" i="47"/>
  <c r="M17" i="47"/>
  <c r="K18" i="47"/>
  <c r="AW30" i="47"/>
  <c r="AF15" i="47"/>
  <c r="AD16" i="47"/>
  <c r="AN14" i="47"/>
  <c r="BC14" i="47" s="1"/>
  <c r="AM15" i="47"/>
  <c r="U15" i="47"/>
  <c r="S16" i="47"/>
  <c r="AH16" i="47"/>
  <c r="AK15" i="47"/>
  <c r="C7" i="17"/>
  <c r="C5" i="1"/>
  <c r="E21" i="21"/>
  <c r="BJ12" i="21"/>
  <c r="BJ13" i="21" s="1"/>
  <c r="BJ14" i="21" s="1"/>
  <c r="BJ15" i="21" s="1"/>
  <c r="BJ16" i="21" s="1"/>
  <c r="BJ17" i="21" s="1"/>
  <c r="BJ18" i="21" s="1"/>
  <c r="BJ19" i="21" s="1"/>
  <c r="BJ20" i="21" s="1"/>
  <c r="BJ21" i="21" s="1"/>
  <c r="BJ22" i="21" s="1"/>
  <c r="BJ23" i="21" s="1"/>
  <c r="BJ24" i="21" s="1"/>
  <c r="BJ25" i="21" s="1"/>
  <c r="BJ26" i="21" s="1"/>
  <c r="BJ27" i="21" s="1"/>
  <c r="BJ28" i="21" s="1"/>
  <c r="BJ29" i="21" s="1"/>
  <c r="BJ30" i="21" s="1"/>
  <c r="BJ31" i="21" s="1"/>
  <c r="BJ32" i="21" s="1"/>
  <c r="BJ33" i="21" s="1"/>
  <c r="BJ34" i="21" s="1"/>
  <c r="BJ35" i="21" s="1"/>
  <c r="BJ36" i="21" s="1"/>
  <c r="BJ37" i="21" s="1"/>
  <c r="BJ38" i="21" s="1"/>
  <c r="BJ39" i="21" s="1"/>
  <c r="BJ40" i="21" s="1"/>
  <c r="BJ41" i="21" s="1"/>
  <c r="BJ11" i="21"/>
  <c r="BL9" i="21"/>
  <c r="BL10" i="21" s="1"/>
  <c r="BL11" i="21" s="1"/>
  <c r="BL12" i="21" s="1"/>
  <c r="BL13" i="21" s="1"/>
  <c r="BL14" i="21" s="1"/>
  <c r="BL15" i="21" s="1"/>
  <c r="BL16" i="21" s="1"/>
  <c r="BL17" i="21" s="1"/>
  <c r="BL18" i="21" s="1"/>
  <c r="BL19" i="21" s="1"/>
  <c r="BL20" i="21" s="1"/>
  <c r="BL21" i="21" s="1"/>
  <c r="BL22" i="21" s="1"/>
  <c r="BL23" i="21" s="1"/>
  <c r="BL24" i="21" s="1"/>
  <c r="BL25" i="21" s="1"/>
  <c r="BL26" i="21" s="1"/>
  <c r="BL27" i="21" s="1"/>
  <c r="BL28" i="21" s="1"/>
  <c r="BL29" i="21" s="1"/>
  <c r="BL30" i="21" s="1"/>
  <c r="BL31" i="21" s="1"/>
  <c r="BL32" i="21" s="1"/>
  <c r="BL33" i="21" s="1"/>
  <c r="BL34" i="21" s="1"/>
  <c r="BL35" i="21" s="1"/>
  <c r="BL36" i="21" s="1"/>
  <c r="BL37" i="21" s="1"/>
  <c r="BL38" i="21" s="1"/>
  <c r="BL39" i="21" s="1"/>
  <c r="BL40" i="21" s="1"/>
  <c r="BL41" i="21" s="1"/>
  <c r="BL8" i="21"/>
  <c r="BK8" i="21"/>
  <c r="BK9" i="21" s="1"/>
  <c r="BK10" i="21" s="1"/>
  <c r="BK11" i="21" s="1"/>
  <c r="BK12" i="21" s="1"/>
  <c r="BK13" i="21" s="1"/>
  <c r="BK14" i="21" s="1"/>
  <c r="BK15" i="21" s="1"/>
  <c r="BK16" i="21" s="1"/>
  <c r="BK17" i="21" s="1"/>
  <c r="BK18" i="21" s="1"/>
  <c r="BK19" i="21" s="1"/>
  <c r="BK20" i="21" s="1"/>
  <c r="BK21" i="21" s="1"/>
  <c r="BK22" i="21" s="1"/>
  <c r="BK23" i="21" s="1"/>
  <c r="BK24" i="21" s="1"/>
  <c r="BK25" i="21" s="1"/>
  <c r="BK26" i="21" s="1"/>
  <c r="BK27" i="21" s="1"/>
  <c r="BK28" i="21" s="1"/>
  <c r="BK29" i="21" s="1"/>
  <c r="BK30" i="21" s="1"/>
  <c r="BK31" i="21" s="1"/>
  <c r="BK32" i="21" s="1"/>
  <c r="BK33" i="21" s="1"/>
  <c r="BK34" i="21" s="1"/>
  <c r="BK35" i="21" s="1"/>
  <c r="BK36" i="21" s="1"/>
  <c r="BK37" i="21" s="1"/>
  <c r="BK38" i="21" s="1"/>
  <c r="BK39" i="21" s="1"/>
  <c r="BK40" i="21" s="1"/>
  <c r="BK41" i="21" s="1"/>
  <c r="BL7" i="21"/>
  <c r="AC5" i="1"/>
  <c r="BE11" i="42"/>
  <c r="BE12" i="42" s="1"/>
  <c r="BE13" i="42" s="1"/>
  <c r="BE14" i="42" s="1"/>
  <c r="BE15" i="42" s="1"/>
  <c r="BE16" i="42" s="1"/>
  <c r="BE17" i="42" s="1"/>
  <c r="BE18" i="42" s="1"/>
  <c r="BE19" i="42" s="1"/>
  <c r="BE20" i="42" s="1"/>
  <c r="BE21" i="42" s="1"/>
  <c r="BE22" i="42" s="1"/>
  <c r="BE23" i="42" s="1"/>
  <c r="BE24" i="42" s="1"/>
  <c r="BE25" i="42" s="1"/>
  <c r="BE26" i="42" s="1"/>
  <c r="BE27" i="42" s="1"/>
  <c r="BE28" i="42" s="1"/>
  <c r="BE29" i="42" s="1"/>
  <c r="BE30" i="42" s="1"/>
  <c r="BE31" i="42" s="1"/>
  <c r="BE32" i="42" s="1"/>
  <c r="BE33" i="42" s="1"/>
  <c r="BE34" i="42" s="1"/>
  <c r="BE35" i="42" s="1"/>
  <c r="BE36" i="42" s="1"/>
  <c r="BE37" i="42" s="1"/>
  <c r="BE38" i="42" s="1"/>
  <c r="BE39" i="42" s="1"/>
  <c r="BE40" i="42" s="1"/>
  <c r="BE41" i="42" s="1"/>
  <c r="BF8" i="42"/>
  <c r="BG7" i="42"/>
  <c r="BG8" i="42" s="1"/>
  <c r="BG9" i="42" s="1"/>
  <c r="BG10" i="42" s="1"/>
  <c r="BG11" i="42" s="1"/>
  <c r="BG12" i="42" s="1"/>
  <c r="BG13" i="42" s="1"/>
  <c r="BG14" i="42" s="1"/>
  <c r="BG15" i="42" s="1"/>
  <c r="BG16" i="42" s="1"/>
  <c r="BG17" i="42" s="1"/>
  <c r="BG18" i="42" s="1"/>
  <c r="BG19" i="42" s="1"/>
  <c r="BG20" i="42" s="1"/>
  <c r="BG21" i="42" s="1"/>
  <c r="BG22" i="42" s="1"/>
  <c r="BG23" i="42" s="1"/>
  <c r="BG24" i="42" s="1"/>
  <c r="BG25" i="42" s="1"/>
  <c r="BG26" i="42" s="1"/>
  <c r="BG27" i="42" s="1"/>
  <c r="BG28" i="42" s="1"/>
  <c r="BG29" i="42" s="1"/>
  <c r="BG30" i="42" s="1"/>
  <c r="BG31" i="42" s="1"/>
  <c r="BG32" i="42" s="1"/>
  <c r="BG33" i="42" s="1"/>
  <c r="BG34" i="42" s="1"/>
  <c r="BG35" i="42" s="1"/>
  <c r="BG36" i="42" s="1"/>
  <c r="BG37" i="42" s="1"/>
  <c r="BG38" i="42" s="1"/>
  <c r="BG39" i="42" s="1"/>
  <c r="BG40" i="42" s="1"/>
  <c r="BG41" i="42" s="1"/>
  <c r="AN7" i="42"/>
  <c r="AF7" i="42"/>
  <c r="AK7" i="42"/>
  <c r="AB7" i="42"/>
  <c r="BG14" i="49" l="1"/>
  <c r="H34" i="49"/>
  <c r="AC33" i="49"/>
  <c r="AO30" i="16"/>
  <c r="AN17" i="52"/>
  <c r="AW17" i="52"/>
  <c r="BB14" i="16"/>
  <c r="I17" i="52"/>
  <c r="BC14" i="16" s="1"/>
  <c r="BA16" i="16"/>
  <c r="F18" i="52"/>
  <c r="AB18" i="52" s="1"/>
  <c r="AY14" i="47"/>
  <c r="BA14" i="47" s="1"/>
  <c r="BA14" i="49"/>
  <c r="BN15" i="52"/>
  <c r="BF14" i="49"/>
  <c r="BD13" i="49"/>
  <c r="U16" i="22"/>
  <c r="V15" i="22"/>
  <c r="S19" i="52"/>
  <c r="U18" i="52"/>
  <c r="AF17" i="52"/>
  <c r="AD18" i="52"/>
  <c r="AM16" i="52"/>
  <c r="E16" i="52"/>
  <c r="H15" i="52"/>
  <c r="AU18" i="52"/>
  <c r="AS19" i="52"/>
  <c r="E30" i="52"/>
  <c r="AH19" i="52"/>
  <c r="B18" i="52"/>
  <c r="BM18" i="52" s="1"/>
  <c r="AP17" i="52"/>
  <c r="AR16" i="52"/>
  <c r="K18" i="52"/>
  <c r="M17" i="52"/>
  <c r="O17" i="52"/>
  <c r="Q16" i="52"/>
  <c r="AA18" i="52"/>
  <c r="W18" i="52"/>
  <c r="Y17" i="52"/>
  <c r="J15" i="49"/>
  <c r="AF16" i="49"/>
  <c r="AG15" i="49"/>
  <c r="X17" i="49"/>
  <c r="Z16" i="49"/>
  <c r="AL17" i="49"/>
  <c r="AI18" i="49"/>
  <c r="T19" i="49"/>
  <c r="V18" i="49"/>
  <c r="AR17" i="49"/>
  <c r="AS16" i="49"/>
  <c r="AT18" i="49"/>
  <c r="AV17" i="49"/>
  <c r="AB16" i="49"/>
  <c r="AQ19" i="49"/>
  <c r="P18" i="49"/>
  <c r="R17" i="49"/>
  <c r="AN18" i="49"/>
  <c r="AE18" i="49"/>
  <c r="C18" i="49"/>
  <c r="AX28" i="49"/>
  <c r="AX15" i="49"/>
  <c r="AY15" i="49" s="1"/>
  <c r="AO15" i="49"/>
  <c r="N17" i="49"/>
  <c r="L18" i="49"/>
  <c r="P18" i="22"/>
  <c r="R17" i="22"/>
  <c r="T19" i="22"/>
  <c r="X16" i="22"/>
  <c r="Z15" i="22"/>
  <c r="AT18" i="22"/>
  <c r="AH16" i="22"/>
  <c r="AY18" i="22"/>
  <c r="BC28" i="22"/>
  <c r="I29" i="22"/>
  <c r="N15" i="22"/>
  <c r="L16" i="22"/>
  <c r="AE19" i="22"/>
  <c r="BC15" i="22"/>
  <c r="I16" i="22"/>
  <c r="AQ17" i="22"/>
  <c r="AM16" i="22"/>
  <c r="BF9" i="42"/>
  <c r="BF10" i="42" s="1"/>
  <c r="BF11" i="42" s="1"/>
  <c r="BF12" i="42" s="1"/>
  <c r="BF13" i="42" s="1"/>
  <c r="BF14" i="42" s="1"/>
  <c r="BF15" i="42" s="1"/>
  <c r="BF16" i="42" s="1"/>
  <c r="BF17" i="42" s="1"/>
  <c r="BF18" i="42" s="1"/>
  <c r="BF19" i="42" s="1"/>
  <c r="BF20" i="42" s="1"/>
  <c r="BF21" i="42" s="1"/>
  <c r="BF22" i="42" s="1"/>
  <c r="BF23" i="42" s="1"/>
  <c r="BF24" i="42" s="1"/>
  <c r="BF25" i="42" s="1"/>
  <c r="BF26" i="42" s="1"/>
  <c r="BF27" i="42" s="1"/>
  <c r="BF28" i="42" s="1"/>
  <c r="BF29" i="42" s="1"/>
  <c r="BF30" i="42" s="1"/>
  <c r="BF31" i="42" s="1"/>
  <c r="BF32" i="42" s="1"/>
  <c r="BF33" i="42" s="1"/>
  <c r="BF34" i="42" s="1"/>
  <c r="BF35" i="42" s="1"/>
  <c r="BF36" i="42" s="1"/>
  <c r="BF37" i="42" s="1"/>
  <c r="BF38" i="42" s="1"/>
  <c r="BF39" i="42" s="1"/>
  <c r="BF40" i="42" s="1"/>
  <c r="BF41" i="42" s="1"/>
  <c r="AQ8" i="42"/>
  <c r="AP18" i="42"/>
  <c r="AQ16" i="47"/>
  <c r="AR15" i="47"/>
  <c r="AP18" i="47"/>
  <c r="Y16" i="47"/>
  <c r="W17" i="47"/>
  <c r="AW16" i="47"/>
  <c r="I15" i="47"/>
  <c r="AU17" i="47"/>
  <c r="AS18" i="47"/>
  <c r="S17" i="47"/>
  <c r="U16" i="47"/>
  <c r="AW31" i="47"/>
  <c r="AH17" i="47"/>
  <c r="AK16" i="47"/>
  <c r="AN15" i="47"/>
  <c r="BC15" i="47" s="1"/>
  <c r="AM16" i="47"/>
  <c r="M18" i="47"/>
  <c r="K19" i="47"/>
  <c r="O19" i="47"/>
  <c r="Q18" i="47"/>
  <c r="AB15" i="47"/>
  <c r="AY15" i="47" s="1"/>
  <c r="AA16" i="47"/>
  <c r="C18" i="47"/>
  <c r="AD17" i="47"/>
  <c r="AF16" i="47"/>
  <c r="B18" i="47"/>
  <c r="H17" i="47"/>
  <c r="AN6" i="1"/>
  <c r="AJ6" i="1"/>
  <c r="L8" i="21"/>
  <c r="M8" i="21" s="1"/>
  <c r="AE5" i="1"/>
  <c r="AG5" i="1" s="1"/>
  <c r="F5" i="1"/>
  <c r="BG15" i="49" l="1"/>
  <c r="H35" i="49"/>
  <c r="AO31" i="16"/>
  <c r="AC34" i="49"/>
  <c r="AN18" i="52"/>
  <c r="AW18" i="52"/>
  <c r="BB15" i="16"/>
  <c r="I18" i="52"/>
  <c r="BC15" i="16" s="1"/>
  <c r="BA17" i="16"/>
  <c r="F19" i="52"/>
  <c r="AB19" i="52" s="1"/>
  <c r="BA15" i="49"/>
  <c r="BN16" i="52"/>
  <c r="BF15" i="49"/>
  <c r="BF5" i="1"/>
  <c r="T4" i="16"/>
  <c r="U17" i="22"/>
  <c r="V16" i="22"/>
  <c r="AP18" i="52"/>
  <c r="AR17" i="52"/>
  <c r="E17" i="52"/>
  <c r="H16" i="52"/>
  <c r="AM17" i="52"/>
  <c r="AA19" i="52"/>
  <c r="E31" i="52"/>
  <c r="S20" i="52"/>
  <c r="U19" i="52"/>
  <c r="AH20" i="52"/>
  <c r="AS20" i="52"/>
  <c r="AU19" i="52"/>
  <c r="Q17" i="52"/>
  <c r="O18" i="52"/>
  <c r="W19" i="52"/>
  <c r="Y18" i="52"/>
  <c r="B19" i="52"/>
  <c r="BM19" i="52" s="1"/>
  <c r="AD19" i="52"/>
  <c r="AF18" i="52"/>
  <c r="K19" i="52"/>
  <c r="M18" i="52"/>
  <c r="J16" i="49"/>
  <c r="BD14" i="49"/>
  <c r="N18" i="49"/>
  <c r="L19" i="49"/>
  <c r="C19" i="49"/>
  <c r="AB17" i="49"/>
  <c r="AN19" i="49"/>
  <c r="AI19" i="49"/>
  <c r="AL18" i="49"/>
  <c r="AQ20" i="49"/>
  <c r="R18" i="49"/>
  <c r="P19" i="49"/>
  <c r="AT19" i="49"/>
  <c r="AV18" i="49"/>
  <c r="X18" i="49"/>
  <c r="Z17" i="49"/>
  <c r="AX29" i="49"/>
  <c r="V19" i="49"/>
  <c r="T20" i="49"/>
  <c r="AX16" i="49"/>
  <c r="AY16" i="49" s="1"/>
  <c r="AO16" i="49"/>
  <c r="AE19" i="49"/>
  <c r="AR18" i="49"/>
  <c r="AS17" i="49"/>
  <c r="AF17" i="49"/>
  <c r="AG16" i="49"/>
  <c r="AY19" i="22"/>
  <c r="AQ18" i="22"/>
  <c r="AE20" i="22"/>
  <c r="AH17" i="22"/>
  <c r="X17" i="22"/>
  <c r="Z16" i="22"/>
  <c r="T20" i="22"/>
  <c r="AT19" i="22"/>
  <c r="BC16" i="22"/>
  <c r="I17" i="22"/>
  <c r="BC29" i="22"/>
  <c r="I30" i="22"/>
  <c r="AM17" i="22"/>
  <c r="L17" i="22"/>
  <c r="N16" i="22"/>
  <c r="P19" i="22"/>
  <c r="R18" i="22"/>
  <c r="AP19" i="42"/>
  <c r="AQ9" i="42"/>
  <c r="AR8" i="42"/>
  <c r="AP19" i="47"/>
  <c r="AQ17" i="47"/>
  <c r="AR16" i="47"/>
  <c r="BA15" i="47"/>
  <c r="U17" i="47"/>
  <c r="S18" i="47"/>
  <c r="B19" i="47"/>
  <c r="H18" i="47"/>
  <c r="AB16" i="47"/>
  <c r="AY16" i="47" s="1"/>
  <c r="AA17" i="47"/>
  <c r="AU18" i="47"/>
  <c r="AS19" i="47"/>
  <c r="AW17" i="47"/>
  <c r="I16" i="47"/>
  <c r="AF17" i="47"/>
  <c r="AD18" i="47"/>
  <c r="O20" i="47"/>
  <c r="Q19" i="47"/>
  <c r="AH18" i="47"/>
  <c r="AK17" i="47"/>
  <c r="M19" i="47"/>
  <c r="K20" i="47"/>
  <c r="C19" i="47"/>
  <c r="AW32" i="47"/>
  <c r="Y17" i="47"/>
  <c r="W18" i="47"/>
  <c r="AN16" i="47"/>
  <c r="BC16" i="47" s="1"/>
  <c r="AM17" i="47"/>
  <c r="D5" i="39"/>
  <c r="D4" i="39"/>
  <c r="L6" i="39"/>
  <c r="E41" i="42"/>
  <c r="BB5" i="1"/>
  <c r="BM41" i="44"/>
  <c r="BL41" i="44"/>
  <c r="B41" i="44"/>
  <c r="BM40" i="44"/>
  <c r="BL40" i="44"/>
  <c r="B40" i="44"/>
  <c r="BM39" i="44"/>
  <c r="BL39" i="44"/>
  <c r="B39" i="44"/>
  <c r="BM38" i="44"/>
  <c r="BL38" i="44"/>
  <c r="B38" i="44"/>
  <c r="BM37" i="44"/>
  <c r="BL37" i="44"/>
  <c r="B37" i="44"/>
  <c r="BM36" i="44"/>
  <c r="BL36" i="44"/>
  <c r="B36" i="44"/>
  <c r="BM35" i="44"/>
  <c r="BL35" i="44"/>
  <c r="B35" i="44"/>
  <c r="BM34" i="44"/>
  <c r="BL34" i="44"/>
  <c r="B34" i="44"/>
  <c r="BM33" i="44"/>
  <c r="BL33" i="44"/>
  <c r="B33" i="44"/>
  <c r="BM32" i="44"/>
  <c r="BL32" i="44"/>
  <c r="B32" i="44"/>
  <c r="BM31" i="44"/>
  <c r="BL31" i="44"/>
  <c r="B31" i="44"/>
  <c r="BM30" i="44"/>
  <c r="BL30" i="44"/>
  <c r="B30" i="44"/>
  <c r="BM29" i="44"/>
  <c r="BL29" i="44"/>
  <c r="B29" i="44"/>
  <c r="BM28" i="44"/>
  <c r="BL28" i="44"/>
  <c r="B28" i="44"/>
  <c r="BM27" i="44"/>
  <c r="BL27" i="44"/>
  <c r="B27" i="44"/>
  <c r="BM26" i="44"/>
  <c r="BL26" i="44"/>
  <c r="B26" i="44"/>
  <c r="BM25" i="44"/>
  <c r="BL25" i="44"/>
  <c r="B25" i="44"/>
  <c r="BM24" i="44"/>
  <c r="BL24" i="44"/>
  <c r="B24" i="44"/>
  <c r="BM23" i="44"/>
  <c r="BL23" i="44"/>
  <c r="B23" i="44"/>
  <c r="BM22" i="44"/>
  <c r="BL22" i="44"/>
  <c r="B22" i="44"/>
  <c r="BM21" i="44"/>
  <c r="BL21" i="44"/>
  <c r="B21" i="44"/>
  <c r="BM20" i="44"/>
  <c r="BL20" i="44"/>
  <c r="B20" i="44"/>
  <c r="BM19" i="44"/>
  <c r="BL19" i="44"/>
  <c r="B19" i="44"/>
  <c r="BM18" i="44"/>
  <c r="BL18" i="44"/>
  <c r="B18" i="44"/>
  <c r="BM17" i="44"/>
  <c r="BL17" i="44"/>
  <c r="B17" i="44"/>
  <c r="BM16" i="44"/>
  <c r="BL16" i="44"/>
  <c r="B16" i="44"/>
  <c r="BM15" i="44"/>
  <c r="BL15" i="44"/>
  <c r="B15" i="44"/>
  <c r="BM14" i="44"/>
  <c r="BL14" i="44"/>
  <c r="B14" i="44"/>
  <c r="BM13" i="44"/>
  <c r="BL13" i="44"/>
  <c r="B13" i="44"/>
  <c r="BM12" i="44"/>
  <c r="BL12" i="44"/>
  <c r="B12" i="44"/>
  <c r="BM11" i="44"/>
  <c r="BL11" i="44"/>
  <c r="B11" i="44"/>
  <c r="BM10" i="44"/>
  <c r="BL10" i="44"/>
  <c r="B10" i="44"/>
  <c r="BM9" i="44"/>
  <c r="BL9" i="44"/>
  <c r="AP9" i="44"/>
  <c r="W9" i="44"/>
  <c r="B9" i="44"/>
  <c r="BM8" i="44"/>
  <c r="L8" i="44" s="1"/>
  <c r="BL8" i="44"/>
  <c r="AL8" i="44"/>
  <c r="AG8" i="44"/>
  <c r="W8" i="44"/>
  <c r="B8" i="44"/>
  <c r="A8" i="44"/>
  <c r="A9" i="44" s="1"/>
  <c r="A10" i="44" s="1"/>
  <c r="A11" i="44" s="1"/>
  <c r="A12" i="44" s="1"/>
  <c r="A13" i="44" s="1"/>
  <c r="A14" i="44" s="1"/>
  <c r="A15" i="44" s="1"/>
  <c r="A16" i="44" s="1"/>
  <c r="A17" i="44" s="1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6" i="44" s="1"/>
  <c r="A37" i="44" s="1"/>
  <c r="A38" i="44" s="1"/>
  <c r="A39" i="44" s="1"/>
  <c r="A40" i="44" s="1"/>
  <c r="A41" i="44" s="1"/>
  <c r="BM7" i="44"/>
  <c r="BL7" i="44"/>
  <c r="AY7" i="44"/>
  <c r="AX7" i="44"/>
  <c r="AX8" i="44" s="1"/>
  <c r="AX9" i="44" s="1"/>
  <c r="AT7" i="44"/>
  <c r="AS7" i="44"/>
  <c r="AR7" i="44"/>
  <c r="AQ7" i="44"/>
  <c r="AP7" i="44"/>
  <c r="AP8" i="44" s="1"/>
  <c r="AM7" i="44"/>
  <c r="AL7" i="44"/>
  <c r="AN7" i="44" s="1"/>
  <c r="AH7" i="44"/>
  <c r="AI7" i="44" s="1"/>
  <c r="AG7" i="44"/>
  <c r="AE7" i="44"/>
  <c r="AA7" i="44"/>
  <c r="X7" i="44"/>
  <c r="X8" i="44" s="1"/>
  <c r="W7" i="44"/>
  <c r="T7" i="44"/>
  <c r="T8" i="44" s="1"/>
  <c r="S7" i="44"/>
  <c r="U7" i="44" s="1"/>
  <c r="P7" i="44"/>
  <c r="O7" i="44"/>
  <c r="M7" i="44"/>
  <c r="L7" i="44"/>
  <c r="K7" i="44"/>
  <c r="K8" i="44" s="1"/>
  <c r="K9" i="44" s="1"/>
  <c r="F7" i="44"/>
  <c r="BB7" i="44" s="1"/>
  <c r="E7" i="44"/>
  <c r="C7" i="44"/>
  <c r="B7" i="44"/>
  <c r="H7" i="44" s="1"/>
  <c r="E21" i="42"/>
  <c r="AS8" i="42"/>
  <c r="AH8" i="42"/>
  <c r="AD8" i="42"/>
  <c r="W8" i="42"/>
  <c r="S8" i="42"/>
  <c r="O8" i="42"/>
  <c r="K8" i="42"/>
  <c r="A8" i="42"/>
  <c r="AU7" i="42"/>
  <c r="Y7" i="42"/>
  <c r="U7" i="42"/>
  <c r="Q7" i="42"/>
  <c r="M7" i="42"/>
  <c r="BB7" i="21"/>
  <c r="B10" i="21"/>
  <c r="B7" i="21"/>
  <c r="BO6" i="1"/>
  <c r="BN9" i="1"/>
  <c r="BP5" i="1"/>
  <c r="BG16" i="49" l="1"/>
  <c r="H36" i="49"/>
  <c r="AC35" i="49"/>
  <c r="AO32" i="16"/>
  <c r="AN19" i="52"/>
  <c r="AW19" i="52"/>
  <c r="BB16" i="16"/>
  <c r="I19" i="52"/>
  <c r="BC16" i="16" s="1"/>
  <c r="BA18" i="16"/>
  <c r="F20" i="52"/>
  <c r="AB20" i="52" s="1"/>
  <c r="BA16" i="49"/>
  <c r="BD15" i="49"/>
  <c r="BN17" i="52"/>
  <c r="BF16" i="49"/>
  <c r="BO8" i="22"/>
  <c r="AZ8" i="22" s="1"/>
  <c r="BP6" i="1"/>
  <c r="AF6" i="1" s="1"/>
  <c r="BP7" i="22"/>
  <c r="BN10" i="1"/>
  <c r="BN11" i="22"/>
  <c r="U18" i="22"/>
  <c r="V17" i="22"/>
  <c r="M19" i="52"/>
  <c r="K20" i="52"/>
  <c r="S21" i="52"/>
  <c r="U20" i="52"/>
  <c r="AH21" i="52"/>
  <c r="Q18" i="52"/>
  <c r="O19" i="52"/>
  <c r="E18" i="52"/>
  <c r="H17" i="52"/>
  <c r="AM18" i="52"/>
  <c r="AD20" i="52"/>
  <c r="AF19" i="52"/>
  <c r="E32" i="52"/>
  <c r="B20" i="52"/>
  <c r="BM20" i="52" s="1"/>
  <c r="AS21" i="52"/>
  <c r="AU20" i="52"/>
  <c r="AA20" i="52"/>
  <c r="W20" i="52"/>
  <c r="Y19" i="52"/>
  <c r="AR18" i="52"/>
  <c r="AP19" i="52"/>
  <c r="J17" i="49"/>
  <c r="AQ21" i="49"/>
  <c r="AB18" i="49"/>
  <c r="AF18" i="49"/>
  <c r="AG17" i="49"/>
  <c r="X19" i="49"/>
  <c r="Z18" i="49"/>
  <c r="AN20" i="49"/>
  <c r="AE20" i="49"/>
  <c r="C20" i="49"/>
  <c r="AX30" i="49"/>
  <c r="AX17" i="49"/>
  <c r="AY17" i="49" s="1"/>
  <c r="AO17" i="49"/>
  <c r="AV19" i="49"/>
  <c r="AT20" i="49"/>
  <c r="T21" i="49"/>
  <c r="V20" i="49"/>
  <c r="P20" i="49"/>
  <c r="R19" i="49"/>
  <c r="AI20" i="49"/>
  <c r="AL19" i="49"/>
  <c r="AR19" i="49"/>
  <c r="AS18" i="49"/>
  <c r="L20" i="49"/>
  <c r="N19" i="49"/>
  <c r="P20" i="22"/>
  <c r="R19" i="22"/>
  <c r="AM18" i="22"/>
  <c r="AT20" i="22"/>
  <c r="AQ19" i="22"/>
  <c r="BC30" i="22"/>
  <c r="I31" i="22"/>
  <c r="AY20" i="22"/>
  <c r="BC17" i="22"/>
  <c r="I18" i="22"/>
  <c r="X18" i="22"/>
  <c r="Z17" i="22"/>
  <c r="T21" i="22"/>
  <c r="AE21" i="22"/>
  <c r="L18" i="22"/>
  <c r="N17" i="22"/>
  <c r="AH18" i="22"/>
  <c r="A9" i="42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K9" i="42"/>
  <c r="AQ10" i="42"/>
  <c r="AR9" i="42"/>
  <c r="AD9" i="42"/>
  <c r="AP20" i="42"/>
  <c r="AQ18" i="47"/>
  <c r="AR17" i="47"/>
  <c r="AP20" i="47"/>
  <c r="BA16" i="47"/>
  <c r="W9" i="42"/>
  <c r="AM4" i="16"/>
  <c r="O9" i="42"/>
  <c r="AH19" i="47"/>
  <c r="AK18" i="47"/>
  <c r="AU19" i="47"/>
  <c r="AS20" i="47"/>
  <c r="O21" i="47"/>
  <c r="Q20" i="47"/>
  <c r="C20" i="47"/>
  <c r="AD19" i="47"/>
  <c r="AF18" i="47"/>
  <c r="Y18" i="47"/>
  <c r="W19" i="47"/>
  <c r="M20" i="47"/>
  <c r="K21" i="47"/>
  <c r="B20" i="47"/>
  <c r="H19" i="47"/>
  <c r="AA18" i="47"/>
  <c r="AB17" i="47"/>
  <c r="AY17" i="47" s="1"/>
  <c r="AW18" i="47"/>
  <c r="I17" i="47"/>
  <c r="S19" i="47"/>
  <c r="U18" i="47"/>
  <c r="AN17" i="47"/>
  <c r="BC17" i="47" s="1"/>
  <c r="AM18" i="47"/>
  <c r="AW33" i="47"/>
  <c r="T8" i="42"/>
  <c r="AH9" i="42"/>
  <c r="L19" i="39"/>
  <c r="L20" i="39" s="1"/>
  <c r="T9" i="44"/>
  <c r="T10" i="44" s="1"/>
  <c r="T11" i="44" s="1"/>
  <c r="T12" i="44" s="1"/>
  <c r="T13" i="44" s="1"/>
  <c r="T14" i="44" s="1"/>
  <c r="T15" i="44" s="1"/>
  <c r="T16" i="44" s="1"/>
  <c r="T17" i="44" s="1"/>
  <c r="T18" i="44" s="1"/>
  <c r="T19" i="44" s="1"/>
  <c r="T20" i="44" s="1"/>
  <c r="T21" i="44" s="1"/>
  <c r="T22" i="44" s="1"/>
  <c r="T23" i="44" s="1"/>
  <c r="T24" i="44" s="1"/>
  <c r="T25" i="44" s="1"/>
  <c r="T26" i="44" s="1"/>
  <c r="T27" i="44" s="1"/>
  <c r="T28" i="44" s="1"/>
  <c r="T29" i="44" s="1"/>
  <c r="T30" i="44" s="1"/>
  <c r="T31" i="44" s="1"/>
  <c r="T32" i="44" s="1"/>
  <c r="T33" i="44" s="1"/>
  <c r="T34" i="44" s="1"/>
  <c r="T35" i="44" s="1"/>
  <c r="T36" i="44" s="1"/>
  <c r="T37" i="44" s="1"/>
  <c r="T38" i="44" s="1"/>
  <c r="T39" i="44" s="1"/>
  <c r="T40" i="44" s="1"/>
  <c r="T41" i="44" s="1"/>
  <c r="L9" i="44"/>
  <c r="L10" i="44" s="1"/>
  <c r="L11" i="44" s="1"/>
  <c r="L12" i="44" s="1"/>
  <c r="L13" i="44" s="1"/>
  <c r="L14" i="44" s="1"/>
  <c r="L15" i="44" s="1"/>
  <c r="L16" i="44" s="1"/>
  <c r="L17" i="44" s="1"/>
  <c r="L18" i="44" s="1"/>
  <c r="L19" i="44" s="1"/>
  <c r="L20" i="44" s="1"/>
  <c r="L21" i="44" s="1"/>
  <c r="L22" i="44" s="1"/>
  <c r="L23" i="44" s="1"/>
  <c r="L24" i="44" s="1"/>
  <c r="L25" i="44" s="1"/>
  <c r="L26" i="44" s="1"/>
  <c r="L27" i="44" s="1"/>
  <c r="L28" i="44" s="1"/>
  <c r="L29" i="44" s="1"/>
  <c r="L30" i="44" s="1"/>
  <c r="L31" i="44" s="1"/>
  <c r="L32" i="44" s="1"/>
  <c r="L33" i="44" s="1"/>
  <c r="L34" i="44" s="1"/>
  <c r="L35" i="44" s="1"/>
  <c r="L36" i="44" s="1"/>
  <c r="L37" i="44" s="1"/>
  <c r="L38" i="44" s="1"/>
  <c r="L39" i="44" s="1"/>
  <c r="L40" i="44" s="1"/>
  <c r="L41" i="44" s="1"/>
  <c r="X9" i="44"/>
  <c r="X10" i="44" s="1"/>
  <c r="X11" i="44" s="1"/>
  <c r="X12" i="44" s="1"/>
  <c r="X13" i="44" s="1"/>
  <c r="X14" i="44" s="1"/>
  <c r="X15" i="44" s="1"/>
  <c r="X16" i="44" s="1"/>
  <c r="X17" i="44" s="1"/>
  <c r="X18" i="44" s="1"/>
  <c r="X19" i="44" s="1"/>
  <c r="X20" i="44" s="1"/>
  <c r="X21" i="44" s="1"/>
  <c r="X22" i="44" s="1"/>
  <c r="X23" i="44" s="1"/>
  <c r="X24" i="44" s="1"/>
  <c r="X25" i="44" s="1"/>
  <c r="X26" i="44" s="1"/>
  <c r="X27" i="44" s="1"/>
  <c r="X28" i="44" s="1"/>
  <c r="X29" i="44" s="1"/>
  <c r="X30" i="44" s="1"/>
  <c r="X31" i="44" s="1"/>
  <c r="X32" i="44" s="1"/>
  <c r="X33" i="44" s="1"/>
  <c r="X34" i="44" s="1"/>
  <c r="X35" i="44" s="1"/>
  <c r="X36" i="44" s="1"/>
  <c r="X37" i="44" s="1"/>
  <c r="X38" i="44" s="1"/>
  <c r="X39" i="44" s="1"/>
  <c r="X40" i="44" s="1"/>
  <c r="X41" i="44" s="1"/>
  <c r="BD5" i="1"/>
  <c r="L8" i="42"/>
  <c r="BO7" i="1"/>
  <c r="D12" i="39"/>
  <c r="P8" i="42"/>
  <c r="BD39" i="1"/>
  <c r="I7" i="42"/>
  <c r="AJ4" i="16" s="1"/>
  <c r="AW41" i="42"/>
  <c r="AW21" i="42"/>
  <c r="K10" i="44"/>
  <c r="I7" i="44"/>
  <c r="AU7" i="44"/>
  <c r="AS8" i="44"/>
  <c r="Y9" i="44"/>
  <c r="W10" i="44"/>
  <c r="AG9" i="44"/>
  <c r="AP10" i="44"/>
  <c r="Y7" i="44"/>
  <c r="AX10" i="44"/>
  <c r="M8" i="44"/>
  <c r="Q7" i="44"/>
  <c r="O8" i="44"/>
  <c r="Y8" i="44"/>
  <c r="P8" i="44"/>
  <c r="P9" i="44" s="1"/>
  <c r="P10" i="44" s="1"/>
  <c r="P11" i="44" s="1"/>
  <c r="P12" i="44" s="1"/>
  <c r="P13" i="44" s="1"/>
  <c r="P14" i="44" s="1"/>
  <c r="P15" i="44" s="1"/>
  <c r="P16" i="44" s="1"/>
  <c r="P17" i="44" s="1"/>
  <c r="P18" i="44" s="1"/>
  <c r="P19" i="44" s="1"/>
  <c r="P20" i="44" s="1"/>
  <c r="P21" i="44" s="1"/>
  <c r="P22" i="44" s="1"/>
  <c r="P23" i="44" s="1"/>
  <c r="P24" i="44" s="1"/>
  <c r="P25" i="44" s="1"/>
  <c r="P26" i="44" s="1"/>
  <c r="P27" i="44" s="1"/>
  <c r="P28" i="44" s="1"/>
  <c r="P29" i="44" s="1"/>
  <c r="P30" i="44" s="1"/>
  <c r="P31" i="44" s="1"/>
  <c r="P32" i="44" s="1"/>
  <c r="P33" i="44" s="1"/>
  <c r="P34" i="44" s="1"/>
  <c r="P35" i="44" s="1"/>
  <c r="P36" i="44" s="1"/>
  <c r="P37" i="44" s="1"/>
  <c r="P38" i="44" s="1"/>
  <c r="P39" i="44" s="1"/>
  <c r="P40" i="44" s="1"/>
  <c r="P41" i="44" s="1"/>
  <c r="AV7" i="44"/>
  <c r="AZ7" i="44"/>
  <c r="E41" i="44"/>
  <c r="H41" i="44" s="1"/>
  <c r="AB7" i="44"/>
  <c r="S8" i="44"/>
  <c r="AL9" i="44"/>
  <c r="A22" i="42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E22" i="42" s="1"/>
  <c r="E23" i="42" s="1"/>
  <c r="E24" i="42" s="1"/>
  <c r="E25" i="42" s="1"/>
  <c r="E26" i="42" s="1"/>
  <c r="E27" i="42" s="1"/>
  <c r="E28" i="42" s="1"/>
  <c r="E29" i="42" s="1"/>
  <c r="E30" i="42" s="1"/>
  <c r="E31" i="42" s="1"/>
  <c r="E32" i="42" s="1"/>
  <c r="E33" i="42" s="1"/>
  <c r="E34" i="42" s="1"/>
  <c r="E35" i="42" s="1"/>
  <c r="E36" i="42" s="1"/>
  <c r="E37" i="42" s="1"/>
  <c r="E38" i="42" s="1"/>
  <c r="E39" i="42" s="1"/>
  <c r="E40" i="42" s="1"/>
  <c r="S9" i="42"/>
  <c r="AM8" i="42"/>
  <c r="AT8" i="42"/>
  <c r="E8" i="42"/>
  <c r="B8" i="42"/>
  <c r="H7" i="42"/>
  <c r="AS9" i="42"/>
  <c r="AD10" i="42"/>
  <c r="X8" i="42"/>
  <c r="BB41" i="21"/>
  <c r="BB21" i="21"/>
  <c r="BG17" i="49" l="1"/>
  <c r="H37" i="49"/>
  <c r="AC36" i="49"/>
  <c r="AO33" i="16"/>
  <c r="AW20" i="52"/>
  <c r="AN20" i="52"/>
  <c r="BB17" i="16"/>
  <c r="I20" i="52"/>
  <c r="BC17" i="16" s="1"/>
  <c r="BA19" i="16"/>
  <c r="F21" i="52"/>
  <c r="AB21" i="52" s="1"/>
  <c r="BA17" i="49"/>
  <c r="BD16" i="49"/>
  <c r="BN18" i="52"/>
  <c r="BF17" i="49"/>
  <c r="AU8" i="22"/>
  <c r="AR8" i="22"/>
  <c r="AN11" i="22"/>
  <c r="BN11" i="1"/>
  <c r="BN12" i="22"/>
  <c r="BP7" i="1"/>
  <c r="BP8" i="22"/>
  <c r="AB8" i="22" s="1"/>
  <c r="BO8" i="1"/>
  <c r="BO9" i="22"/>
  <c r="AZ9" i="22" s="1"/>
  <c r="U19" i="22"/>
  <c r="V18" i="22"/>
  <c r="Y20" i="52"/>
  <c r="W21" i="52"/>
  <c r="B21" i="52"/>
  <c r="BM21" i="52" s="1"/>
  <c r="U21" i="52"/>
  <c r="S22" i="52"/>
  <c r="E19" i="52"/>
  <c r="H18" i="52"/>
  <c r="K21" i="52"/>
  <c r="M20" i="52"/>
  <c r="AA21" i="52"/>
  <c r="O20" i="52"/>
  <c r="Q19" i="52"/>
  <c r="AD21" i="52"/>
  <c r="AF20" i="52"/>
  <c r="E33" i="52"/>
  <c r="AR19" i="52"/>
  <c r="AP20" i="52"/>
  <c r="AM19" i="52"/>
  <c r="AH22" i="52"/>
  <c r="AS22" i="52"/>
  <c r="AU21" i="52"/>
  <c r="J21" i="49"/>
  <c r="J18" i="49"/>
  <c r="X20" i="49"/>
  <c r="Z19" i="49"/>
  <c r="AI21" i="49"/>
  <c r="AL20" i="49"/>
  <c r="AX18" i="49"/>
  <c r="AY18" i="49" s="1"/>
  <c r="AO18" i="49"/>
  <c r="AE21" i="49"/>
  <c r="P21" i="49"/>
  <c r="R20" i="49"/>
  <c r="AF19" i="49"/>
  <c r="AG18" i="49"/>
  <c r="C21" i="49"/>
  <c r="N20" i="49"/>
  <c r="L21" i="49"/>
  <c r="AN21" i="49"/>
  <c r="AR20" i="49"/>
  <c r="AS19" i="49"/>
  <c r="T22" i="49"/>
  <c r="V21" i="49"/>
  <c r="AB19" i="49"/>
  <c r="AV20" i="49"/>
  <c r="AT21" i="49"/>
  <c r="AQ22" i="49"/>
  <c r="AX31" i="49"/>
  <c r="L19" i="22"/>
  <c r="N18" i="22"/>
  <c r="BC18" i="22"/>
  <c r="I19" i="22"/>
  <c r="AT21" i="22"/>
  <c r="AE22" i="22"/>
  <c r="T22" i="22"/>
  <c r="AQ20" i="22"/>
  <c r="AM19" i="22"/>
  <c r="AY21" i="22"/>
  <c r="R20" i="22"/>
  <c r="P21" i="22"/>
  <c r="AH19" i="22"/>
  <c r="BC31" i="22"/>
  <c r="I32" i="22"/>
  <c r="Z18" i="22"/>
  <c r="X19" i="22"/>
  <c r="AQ11" i="42"/>
  <c r="AR10" i="42"/>
  <c r="AP21" i="42"/>
  <c r="K10" i="42"/>
  <c r="B9" i="42"/>
  <c r="AQ19" i="47"/>
  <c r="AR18" i="47"/>
  <c r="AP21" i="47"/>
  <c r="W10" i="42"/>
  <c r="T9" i="42"/>
  <c r="P9" i="42"/>
  <c r="O10" i="42"/>
  <c r="L9" i="42"/>
  <c r="M9" i="42" s="1"/>
  <c r="BA17" i="47"/>
  <c r="B21" i="47"/>
  <c r="H20" i="47"/>
  <c r="AW19" i="47"/>
  <c r="I18" i="47"/>
  <c r="C21" i="47"/>
  <c r="M21" i="47"/>
  <c r="K22" i="47"/>
  <c r="O22" i="47"/>
  <c r="Q21" i="47"/>
  <c r="AN18" i="47"/>
  <c r="BC18" i="47" s="1"/>
  <c r="AM19" i="47"/>
  <c r="Y19" i="47"/>
  <c r="W20" i="47"/>
  <c r="AU20" i="47"/>
  <c r="AS21" i="47"/>
  <c r="AW34" i="47"/>
  <c r="AA19" i="47"/>
  <c r="AB18" i="47"/>
  <c r="U19" i="47"/>
  <c r="S20" i="47"/>
  <c r="AF19" i="47"/>
  <c r="AD20" i="47"/>
  <c r="AH20" i="47"/>
  <c r="AK19" i="47"/>
  <c r="U8" i="42"/>
  <c r="AJ8" i="42"/>
  <c r="AI8" i="42"/>
  <c r="AH10" i="42"/>
  <c r="C8" i="42"/>
  <c r="BD19" i="1"/>
  <c r="E9" i="42"/>
  <c r="M9" i="44"/>
  <c r="Q9" i="42"/>
  <c r="AM9" i="42"/>
  <c r="AE8" i="42"/>
  <c r="M8" i="42"/>
  <c r="Q8" i="42"/>
  <c r="AA8" i="42"/>
  <c r="AW22" i="42"/>
  <c r="S9" i="44"/>
  <c r="U8" i="44"/>
  <c r="AP11" i="44"/>
  <c r="AL10" i="44"/>
  <c r="Q8" i="44"/>
  <c r="O9" i="44"/>
  <c r="AX11" i="44"/>
  <c r="F41" i="44"/>
  <c r="BB41" i="44" s="1"/>
  <c r="AG10" i="44"/>
  <c r="Y10" i="44"/>
  <c r="W11" i="44"/>
  <c r="M10" i="44"/>
  <c r="K11" i="44"/>
  <c r="AS9" i="44"/>
  <c r="X9" i="42"/>
  <c r="Y8" i="42"/>
  <c r="U9" i="42"/>
  <c r="S10" i="42"/>
  <c r="AS10" i="42"/>
  <c r="AU8" i="42"/>
  <c r="AD11" i="42"/>
  <c r="H8" i="42"/>
  <c r="AD7" i="21"/>
  <c r="AD7" i="44" s="1"/>
  <c r="BG18" i="49" l="1"/>
  <c r="H38" i="49"/>
  <c r="AC37" i="49"/>
  <c r="AW21" i="52"/>
  <c r="AN21" i="52"/>
  <c r="BB18" i="16"/>
  <c r="I21" i="52"/>
  <c r="BC18" i="16" s="1"/>
  <c r="BA20" i="16"/>
  <c r="F22" i="52"/>
  <c r="AB22" i="52" s="1"/>
  <c r="AY18" i="47"/>
  <c r="BA18" i="47" s="1"/>
  <c r="BA18" i="49"/>
  <c r="BD17" i="49"/>
  <c r="BN19" i="52"/>
  <c r="BF18" i="49"/>
  <c r="AI8" i="22"/>
  <c r="AJ8" i="22" s="1"/>
  <c r="AC8" i="22"/>
  <c r="BO9" i="1"/>
  <c r="BO10" i="22"/>
  <c r="AZ10" i="22" s="1"/>
  <c r="AN12" i="22"/>
  <c r="AO11" i="22"/>
  <c r="J11" i="22"/>
  <c r="AR9" i="22"/>
  <c r="AS8" i="22"/>
  <c r="BN12" i="1"/>
  <c r="BN13" i="22"/>
  <c r="AF8" i="22"/>
  <c r="BA8" i="22"/>
  <c r="AU9" i="22"/>
  <c r="AV8" i="22"/>
  <c r="BP8" i="1"/>
  <c r="BP9" i="22"/>
  <c r="AB9" i="22" s="1"/>
  <c r="U20" i="22"/>
  <c r="V19" i="22"/>
  <c r="AH23" i="52"/>
  <c r="AF21" i="52"/>
  <c r="AD22" i="52"/>
  <c r="K22" i="52"/>
  <c r="M21" i="52"/>
  <c r="AM20" i="52"/>
  <c r="H21" i="52"/>
  <c r="B22" i="52"/>
  <c r="BM22" i="52" s="1"/>
  <c r="O21" i="52"/>
  <c r="Q20" i="52"/>
  <c r="E20" i="52"/>
  <c r="H19" i="52"/>
  <c r="W22" i="52"/>
  <c r="Y21" i="52"/>
  <c r="AP21" i="52"/>
  <c r="AR20" i="52"/>
  <c r="S23" i="52"/>
  <c r="U22" i="52"/>
  <c r="AU22" i="52"/>
  <c r="AS23" i="52"/>
  <c r="E34" i="52"/>
  <c r="AA22" i="52"/>
  <c r="J22" i="49"/>
  <c r="J19" i="49"/>
  <c r="AT22" i="49"/>
  <c r="AV21" i="49"/>
  <c r="X21" i="49"/>
  <c r="Z20" i="49"/>
  <c r="AO21" i="49"/>
  <c r="AN22" i="49"/>
  <c r="AF20" i="49"/>
  <c r="AG19" i="49"/>
  <c r="AX19" i="49"/>
  <c r="AY19" i="49" s="1"/>
  <c r="AO19" i="49"/>
  <c r="AE22" i="49"/>
  <c r="AR21" i="49"/>
  <c r="AS20" i="49"/>
  <c r="L22" i="49"/>
  <c r="N21" i="49"/>
  <c r="AX32" i="49"/>
  <c r="AB20" i="49"/>
  <c r="P22" i="49"/>
  <c r="R21" i="49"/>
  <c r="AQ23" i="49"/>
  <c r="AI22" i="49"/>
  <c r="AL21" i="49"/>
  <c r="C22" i="49"/>
  <c r="T23" i="49"/>
  <c r="V22" i="49"/>
  <c r="AQ21" i="22"/>
  <c r="T23" i="22"/>
  <c r="AH20" i="22"/>
  <c r="AM20" i="22"/>
  <c r="P22" i="22"/>
  <c r="R21" i="22"/>
  <c r="AE23" i="22"/>
  <c r="X20" i="22"/>
  <c r="Z19" i="22"/>
  <c r="AT22" i="22"/>
  <c r="I20" i="22"/>
  <c r="BC19" i="22"/>
  <c r="I33" i="22"/>
  <c r="BC32" i="22"/>
  <c r="AY22" i="22"/>
  <c r="N19" i="22"/>
  <c r="L20" i="22"/>
  <c r="AP22" i="42"/>
  <c r="AF8" i="42"/>
  <c r="C9" i="42"/>
  <c r="AW8" i="42"/>
  <c r="K11" i="42"/>
  <c r="AN8" i="42"/>
  <c r="BC8" i="42" s="1"/>
  <c r="AJ9" i="42"/>
  <c r="AQ12" i="42"/>
  <c r="AR11" i="42"/>
  <c r="AP22" i="47"/>
  <c r="AQ20" i="47"/>
  <c r="AR19" i="47"/>
  <c r="W11" i="42"/>
  <c r="T10" i="42"/>
  <c r="P10" i="42"/>
  <c r="O11" i="42"/>
  <c r="L10" i="42"/>
  <c r="AH21" i="47"/>
  <c r="AK20" i="47"/>
  <c r="C22" i="47"/>
  <c r="I21" i="47"/>
  <c r="Y20" i="47"/>
  <c r="W21" i="47"/>
  <c r="AW35" i="47"/>
  <c r="AN19" i="47"/>
  <c r="BC19" i="47" s="1"/>
  <c r="AM20" i="47"/>
  <c r="AW20" i="47"/>
  <c r="I19" i="47"/>
  <c r="O23" i="47"/>
  <c r="Q22" i="47"/>
  <c r="AU21" i="47"/>
  <c r="AS22" i="47"/>
  <c r="M22" i="47"/>
  <c r="K23" i="47"/>
  <c r="B22" i="47"/>
  <c r="H21" i="47"/>
  <c r="AF20" i="47"/>
  <c r="AD21" i="47"/>
  <c r="U20" i="47"/>
  <c r="S21" i="47"/>
  <c r="AA20" i="47"/>
  <c r="AB19" i="47"/>
  <c r="BA7" i="42"/>
  <c r="AL4" i="16" s="1"/>
  <c r="AK4" i="16"/>
  <c r="AF7" i="44"/>
  <c r="AD8" i="44"/>
  <c r="AD9" i="44" s="1"/>
  <c r="AK8" i="42"/>
  <c r="AI9" i="42"/>
  <c r="AH11" i="42"/>
  <c r="E10" i="42"/>
  <c r="AM10" i="42"/>
  <c r="AA9" i="42"/>
  <c r="AT9" i="42"/>
  <c r="AE9" i="42"/>
  <c r="AB8" i="42"/>
  <c r="I8" i="42"/>
  <c r="AS10" i="44"/>
  <c r="AD10" i="44"/>
  <c r="Q9" i="44"/>
  <c r="O10" i="44"/>
  <c r="Y11" i="44"/>
  <c r="W12" i="44"/>
  <c r="AP12" i="44"/>
  <c r="AG11" i="44"/>
  <c r="AL11" i="44"/>
  <c r="M11" i="44"/>
  <c r="K12" i="44"/>
  <c r="AX12" i="44"/>
  <c r="S10" i="44"/>
  <c r="U9" i="44"/>
  <c r="B10" i="42"/>
  <c r="H9" i="42"/>
  <c r="U10" i="42"/>
  <c r="S11" i="42"/>
  <c r="AS11" i="42"/>
  <c r="AD12" i="42"/>
  <c r="X10" i="42"/>
  <c r="Y9" i="42"/>
  <c r="BG19" i="49" l="1"/>
  <c r="AY21" i="49"/>
  <c r="BG21" i="49" s="1"/>
  <c r="H39" i="49"/>
  <c r="AC38" i="49"/>
  <c r="BE8" i="22"/>
  <c r="BF8" i="22" s="1"/>
  <c r="AN22" i="52"/>
  <c r="AW22" i="52"/>
  <c r="BB19" i="16"/>
  <c r="I22" i="52"/>
  <c r="BC19" i="16" s="1"/>
  <c r="BA21" i="16"/>
  <c r="F23" i="52"/>
  <c r="AB23" i="52" s="1"/>
  <c r="AY19" i="47"/>
  <c r="AY8" i="42"/>
  <c r="BA19" i="49"/>
  <c r="BN20" i="52"/>
  <c r="BF19" i="49"/>
  <c r="AI9" i="22"/>
  <c r="AJ9" i="22" s="1"/>
  <c r="AW8" i="22"/>
  <c r="AC9" i="22"/>
  <c r="BN13" i="1"/>
  <c r="BN14" i="22"/>
  <c r="BO10" i="1"/>
  <c r="BO11" i="22"/>
  <c r="AZ11" i="22" s="1"/>
  <c r="AR10" i="22"/>
  <c r="AS9" i="22"/>
  <c r="AU10" i="22"/>
  <c r="AV9" i="22"/>
  <c r="J12" i="22"/>
  <c r="BA9" i="22"/>
  <c r="BP9" i="1"/>
  <c r="BP10" i="22"/>
  <c r="AB10" i="22" s="1"/>
  <c r="AF9" i="22"/>
  <c r="AG8" i="22"/>
  <c r="AN13" i="22"/>
  <c r="AO12" i="22"/>
  <c r="U21" i="22"/>
  <c r="V20" i="22"/>
  <c r="E35" i="52"/>
  <c r="M22" i="52"/>
  <c r="K23" i="52"/>
  <c r="W23" i="52"/>
  <c r="Y22" i="52"/>
  <c r="AD23" i="52"/>
  <c r="AF22" i="52"/>
  <c r="AH24" i="52"/>
  <c r="B23" i="52"/>
  <c r="BM23" i="52" s="1"/>
  <c r="H22" i="52"/>
  <c r="AU23" i="52"/>
  <c r="AS24" i="52"/>
  <c r="U23" i="52"/>
  <c r="S24" i="52"/>
  <c r="AM21" i="52"/>
  <c r="H20" i="52"/>
  <c r="AA23" i="52"/>
  <c r="AP22" i="52"/>
  <c r="AR21" i="52"/>
  <c r="O22" i="52"/>
  <c r="Q21" i="52"/>
  <c r="J23" i="49"/>
  <c r="J20" i="49"/>
  <c r="BD18" i="49"/>
  <c r="L23" i="49"/>
  <c r="N22" i="49"/>
  <c r="AT23" i="49"/>
  <c r="AV22" i="49"/>
  <c r="AL22" i="49"/>
  <c r="AI23" i="49"/>
  <c r="AR22" i="49"/>
  <c r="AS21" i="49"/>
  <c r="AF21" i="49"/>
  <c r="AG20" i="49"/>
  <c r="C23" i="49"/>
  <c r="P23" i="49"/>
  <c r="R22" i="49"/>
  <c r="AX20" i="49"/>
  <c r="AY20" i="49" s="1"/>
  <c r="AO20" i="49"/>
  <c r="V23" i="49"/>
  <c r="T24" i="49"/>
  <c r="AQ24" i="49"/>
  <c r="AB21" i="49"/>
  <c r="AO22" i="49"/>
  <c r="AN23" i="49"/>
  <c r="AX33" i="49"/>
  <c r="AE23" i="49"/>
  <c r="X22" i="49"/>
  <c r="Z21" i="49"/>
  <c r="I34" i="22"/>
  <c r="BC33" i="22"/>
  <c r="T24" i="22"/>
  <c r="AM21" i="22"/>
  <c r="AY23" i="22"/>
  <c r="AE24" i="22"/>
  <c r="AH21" i="22"/>
  <c r="AT23" i="22"/>
  <c r="L21" i="22"/>
  <c r="N20" i="22"/>
  <c r="R22" i="22"/>
  <c r="P23" i="22"/>
  <c r="BC20" i="22"/>
  <c r="X21" i="22"/>
  <c r="Z20" i="22"/>
  <c r="AQ22" i="22"/>
  <c r="AW9" i="42"/>
  <c r="K12" i="42"/>
  <c r="AE10" i="42"/>
  <c r="AJ10" i="42"/>
  <c r="AI10" i="42"/>
  <c r="AQ13" i="42"/>
  <c r="AR12" i="42"/>
  <c r="AP23" i="42"/>
  <c r="AA10" i="42"/>
  <c r="AW23" i="42"/>
  <c r="AN9" i="42"/>
  <c r="BC9" i="42" s="1"/>
  <c r="C10" i="42"/>
  <c r="AP23" i="47"/>
  <c r="AQ21" i="47"/>
  <c r="AR20" i="47"/>
  <c r="BA19" i="47"/>
  <c r="W12" i="42"/>
  <c r="T11" i="42"/>
  <c r="P11" i="42"/>
  <c r="Q10" i="42"/>
  <c r="Q11" i="42"/>
  <c r="O12" i="42"/>
  <c r="L11" i="42"/>
  <c r="M10" i="42"/>
  <c r="AW36" i="47"/>
  <c r="Y21" i="47"/>
  <c r="W22" i="47"/>
  <c r="B23" i="47"/>
  <c r="H22" i="47"/>
  <c r="I20" i="47"/>
  <c r="U21" i="47"/>
  <c r="S22" i="47"/>
  <c r="C23" i="47"/>
  <c r="I22" i="47"/>
  <c r="AM21" i="47"/>
  <c r="AN20" i="47"/>
  <c r="BC20" i="47" s="1"/>
  <c r="O24" i="47"/>
  <c r="Q23" i="47"/>
  <c r="M23" i="47"/>
  <c r="K24" i="47"/>
  <c r="AA21" i="47"/>
  <c r="AB20" i="47"/>
  <c r="AU22" i="47"/>
  <c r="AS23" i="47"/>
  <c r="AF21" i="47"/>
  <c r="AD22" i="47"/>
  <c r="AH22" i="47"/>
  <c r="AK21" i="47"/>
  <c r="AN10" i="42"/>
  <c r="BC10" i="42" s="1"/>
  <c r="BH7" i="44"/>
  <c r="AJ7" i="44"/>
  <c r="BD7" i="44" s="1"/>
  <c r="BF7" i="44" s="1"/>
  <c r="AK9" i="42"/>
  <c r="AF9" i="42"/>
  <c r="AH12" i="42"/>
  <c r="AM11" i="42"/>
  <c r="AB9" i="42"/>
  <c r="I9" i="42"/>
  <c r="E11" i="42"/>
  <c r="AT10" i="42"/>
  <c r="AU9" i="42"/>
  <c r="Q10" i="44"/>
  <c r="O11" i="44"/>
  <c r="Y12" i="44"/>
  <c r="W13" i="44"/>
  <c r="U10" i="44"/>
  <c r="S11" i="44"/>
  <c r="AD11" i="44"/>
  <c r="M12" i="44"/>
  <c r="K13" i="44"/>
  <c r="AG12" i="44"/>
  <c r="AL12" i="44"/>
  <c r="AS11" i="44"/>
  <c r="AX13" i="44"/>
  <c r="AP13" i="44"/>
  <c r="C11" i="42"/>
  <c r="S12" i="42"/>
  <c r="AE11" i="42"/>
  <c r="AF10" i="42"/>
  <c r="AD13" i="42"/>
  <c r="AS12" i="42"/>
  <c r="X11" i="42"/>
  <c r="Y10" i="42"/>
  <c r="H10" i="42"/>
  <c r="B11" i="42"/>
  <c r="AY22" i="49" l="1"/>
  <c r="BG22" i="49" s="1"/>
  <c r="BG20" i="49"/>
  <c r="H40" i="49"/>
  <c r="AC39" i="49"/>
  <c r="BE9" i="22"/>
  <c r="BF9" i="22" s="1"/>
  <c r="AN23" i="52"/>
  <c r="AW23" i="52"/>
  <c r="BB20" i="16"/>
  <c r="I23" i="52"/>
  <c r="BC20" i="16" s="1"/>
  <c r="BA22" i="16"/>
  <c r="F24" i="52"/>
  <c r="AB24" i="52" s="1"/>
  <c r="AY20" i="47"/>
  <c r="AY9" i="42"/>
  <c r="BA20" i="49"/>
  <c r="BN21" i="52"/>
  <c r="BF20" i="49"/>
  <c r="BD19" i="49"/>
  <c r="AW9" i="22"/>
  <c r="AC10" i="22"/>
  <c r="BN14" i="1"/>
  <c r="BN15" i="22"/>
  <c r="BA10" i="22"/>
  <c r="BP10" i="1"/>
  <c r="BP11" i="22"/>
  <c r="AB11" i="22" s="1"/>
  <c r="AN14" i="22"/>
  <c r="AO13" i="22"/>
  <c r="AR11" i="22"/>
  <c r="AS10" i="22"/>
  <c r="AI10" i="22"/>
  <c r="BK8" i="22"/>
  <c r="BL8" i="22"/>
  <c r="AK8" i="22"/>
  <c r="J13" i="22"/>
  <c r="AV10" i="22"/>
  <c r="AU11" i="22"/>
  <c r="AF10" i="22"/>
  <c r="AG9" i="22"/>
  <c r="BO11" i="1"/>
  <c r="BO12" i="22"/>
  <c r="AZ12" i="22" s="1"/>
  <c r="U22" i="22"/>
  <c r="V21" i="22"/>
  <c r="O23" i="52"/>
  <c r="Q22" i="52"/>
  <c r="Y23" i="52"/>
  <c r="W24" i="52"/>
  <c r="U24" i="52"/>
  <c r="S25" i="52"/>
  <c r="H23" i="52"/>
  <c r="B24" i="52"/>
  <c r="BM24" i="52" s="1"/>
  <c r="M23" i="52"/>
  <c r="K24" i="52"/>
  <c r="AM22" i="52"/>
  <c r="AA24" i="52"/>
  <c r="AP23" i="52"/>
  <c r="AR22" i="52"/>
  <c r="AH25" i="52"/>
  <c r="AU24" i="52"/>
  <c r="AS25" i="52"/>
  <c r="E36" i="52"/>
  <c r="AD24" i="52"/>
  <c r="AF23" i="52"/>
  <c r="J24" i="49"/>
  <c r="L24" i="49"/>
  <c r="N23" i="49"/>
  <c r="AR23" i="49"/>
  <c r="AS22" i="49"/>
  <c r="AT24" i="49"/>
  <c r="AV23" i="49"/>
  <c r="AN24" i="49"/>
  <c r="AO23" i="49"/>
  <c r="AE24" i="49"/>
  <c r="AB22" i="49"/>
  <c r="AF22" i="49"/>
  <c r="AG21" i="49"/>
  <c r="BF21" i="49" s="1"/>
  <c r="AQ25" i="49"/>
  <c r="P24" i="49"/>
  <c r="R23" i="49"/>
  <c r="AL23" i="49"/>
  <c r="AI24" i="49"/>
  <c r="Z22" i="49"/>
  <c r="X23" i="49"/>
  <c r="AX34" i="49"/>
  <c r="V24" i="49"/>
  <c r="T25" i="49"/>
  <c r="C24" i="49"/>
  <c r="AE25" i="22"/>
  <c r="T25" i="22"/>
  <c r="AH22" i="22"/>
  <c r="L22" i="22"/>
  <c r="N21" i="22"/>
  <c r="AQ23" i="22"/>
  <c r="AT24" i="22"/>
  <c r="AY24" i="22"/>
  <c r="AM22" i="22"/>
  <c r="X22" i="22"/>
  <c r="Z21" i="22"/>
  <c r="R23" i="22"/>
  <c r="P24" i="22"/>
  <c r="I35" i="22"/>
  <c r="BC34" i="22"/>
  <c r="AQ14" i="42"/>
  <c r="AR13" i="42"/>
  <c r="K13" i="42"/>
  <c r="AI11" i="42"/>
  <c r="AW24" i="42"/>
  <c r="AP24" i="42"/>
  <c r="AJ11" i="42"/>
  <c r="AW10" i="42"/>
  <c r="AA11" i="42"/>
  <c r="AK10" i="42"/>
  <c r="AQ22" i="47"/>
  <c r="AR21" i="47"/>
  <c r="AP24" i="47"/>
  <c r="W13" i="42"/>
  <c r="T12" i="42"/>
  <c r="U11" i="42"/>
  <c r="P12" i="42"/>
  <c r="O13" i="42"/>
  <c r="Q12" i="42"/>
  <c r="L12" i="42"/>
  <c r="M11" i="42"/>
  <c r="BA20" i="47"/>
  <c r="C24" i="47"/>
  <c r="I23" i="47"/>
  <c r="AM22" i="47"/>
  <c r="AN21" i="47"/>
  <c r="BC21" i="47" s="1"/>
  <c r="AH23" i="47"/>
  <c r="AK22" i="47"/>
  <c r="B24" i="47"/>
  <c r="H23" i="47"/>
  <c r="Y22" i="47"/>
  <c r="W23" i="47"/>
  <c r="AB21" i="47"/>
  <c r="AA22" i="47"/>
  <c r="U22" i="47"/>
  <c r="S23" i="47"/>
  <c r="AF22" i="47"/>
  <c r="AD23" i="47"/>
  <c r="AU23" i="47"/>
  <c r="AS24" i="47"/>
  <c r="O25" i="47"/>
  <c r="Q24" i="47"/>
  <c r="AW37" i="47"/>
  <c r="K25" i="47"/>
  <c r="M24" i="47"/>
  <c r="AM12" i="42"/>
  <c r="AH13" i="42"/>
  <c r="I10" i="42"/>
  <c r="AB10" i="42"/>
  <c r="E12" i="42"/>
  <c r="AT11" i="42"/>
  <c r="AU10" i="42"/>
  <c r="BA8" i="42"/>
  <c r="W14" i="44"/>
  <c r="Y13" i="44"/>
  <c r="AD12" i="44"/>
  <c r="AP14" i="44"/>
  <c r="AS12" i="44"/>
  <c r="U11" i="44"/>
  <c r="S12" i="44"/>
  <c r="M13" i="44"/>
  <c r="K14" i="44"/>
  <c r="O12" i="44"/>
  <c r="Q11" i="44"/>
  <c r="AL13" i="44"/>
  <c r="AX14" i="44"/>
  <c r="AG13" i="44"/>
  <c r="C12" i="42"/>
  <c r="S13" i="42"/>
  <c r="AE12" i="42"/>
  <c r="AF11" i="42"/>
  <c r="H11" i="42"/>
  <c r="B12" i="42"/>
  <c r="AD14" i="42"/>
  <c r="X12" i="42"/>
  <c r="Y11" i="42"/>
  <c r="AS13" i="42"/>
  <c r="H5" i="39"/>
  <c r="H4" i="39"/>
  <c r="AY23" i="49" l="1"/>
  <c r="BG23" i="49" s="1"/>
  <c r="H41" i="49"/>
  <c r="AC40" i="49"/>
  <c r="BE10" i="22"/>
  <c r="BF10" i="22" s="1"/>
  <c r="AN24" i="52"/>
  <c r="AW24" i="52"/>
  <c r="BB21" i="16"/>
  <c r="I24" i="52"/>
  <c r="BC21" i="16" s="1"/>
  <c r="BA23" i="16"/>
  <c r="F25" i="52"/>
  <c r="AB25" i="52" s="1"/>
  <c r="AY21" i="47"/>
  <c r="BA21" i="47" s="1"/>
  <c r="AY10" i="42"/>
  <c r="BA21" i="49"/>
  <c r="BN22" i="52"/>
  <c r="AC11" i="22"/>
  <c r="BA11" i="22"/>
  <c r="BO13" i="22"/>
  <c r="AZ13" i="22" s="1"/>
  <c r="BO12" i="1"/>
  <c r="AR12" i="22"/>
  <c r="AS11" i="22"/>
  <c r="AK9" i="22"/>
  <c r="BL9" i="22"/>
  <c r="BK9" i="22"/>
  <c r="AN15" i="22"/>
  <c r="AO14" i="22"/>
  <c r="J14" i="22"/>
  <c r="BI8" i="22"/>
  <c r="BH8" i="22"/>
  <c r="BN15" i="1"/>
  <c r="BN16" i="22"/>
  <c r="AV11" i="22"/>
  <c r="AU12" i="22"/>
  <c r="BP11" i="1"/>
  <c r="BP12" i="22"/>
  <c r="AB12" i="22" s="1"/>
  <c r="AF11" i="22"/>
  <c r="AG10" i="22"/>
  <c r="AW10" i="22"/>
  <c r="AI11" i="22"/>
  <c r="AJ10" i="22"/>
  <c r="U23" i="22"/>
  <c r="V22" i="22"/>
  <c r="AH26" i="52"/>
  <c r="U25" i="52"/>
  <c r="S26" i="52"/>
  <c r="AF24" i="52"/>
  <c r="AD25" i="52"/>
  <c r="AA25" i="52"/>
  <c r="AM23" i="52"/>
  <c r="W25" i="52"/>
  <c r="Y24" i="52"/>
  <c r="E37" i="52"/>
  <c r="B25" i="52"/>
  <c r="BM25" i="52" s="1"/>
  <c r="H24" i="52"/>
  <c r="K25" i="52"/>
  <c r="M24" i="52"/>
  <c r="AS26" i="52"/>
  <c r="AU25" i="52"/>
  <c r="AP24" i="52"/>
  <c r="AR23" i="52"/>
  <c r="O24" i="52"/>
  <c r="Q23" i="52"/>
  <c r="J25" i="49"/>
  <c r="BD20" i="49"/>
  <c r="R24" i="49"/>
  <c r="P25" i="49"/>
  <c r="AB23" i="49"/>
  <c r="AN25" i="49"/>
  <c r="AO24" i="49"/>
  <c r="AQ26" i="49"/>
  <c r="AT25" i="49"/>
  <c r="AV24" i="49"/>
  <c r="AX35" i="49"/>
  <c r="AE25" i="49"/>
  <c r="AR24" i="49"/>
  <c r="AS23" i="49"/>
  <c r="C25" i="49"/>
  <c r="Z23" i="49"/>
  <c r="X24" i="49"/>
  <c r="AI25" i="49"/>
  <c r="AL24" i="49"/>
  <c r="AF23" i="49"/>
  <c r="AG22" i="49"/>
  <c r="T26" i="49"/>
  <c r="V25" i="49"/>
  <c r="L25" i="49"/>
  <c r="N24" i="49"/>
  <c r="AM23" i="22"/>
  <c r="T26" i="22"/>
  <c r="AE26" i="22"/>
  <c r="AQ24" i="22"/>
  <c r="BC35" i="22"/>
  <c r="I36" i="22"/>
  <c r="AY25" i="22"/>
  <c r="AH23" i="22"/>
  <c r="P25" i="22"/>
  <c r="R24" i="22"/>
  <c r="N22" i="22"/>
  <c r="L23" i="22"/>
  <c r="AT25" i="22"/>
  <c r="Z22" i="22"/>
  <c r="X23" i="22"/>
  <c r="AI12" i="42"/>
  <c r="AK11" i="42"/>
  <c r="AP25" i="42"/>
  <c r="AW11" i="42"/>
  <c r="K14" i="42"/>
  <c r="AN11" i="42"/>
  <c r="BC11" i="42" s="1"/>
  <c r="AA12" i="42"/>
  <c r="AJ12" i="42"/>
  <c r="AW25" i="42"/>
  <c r="AQ15" i="42"/>
  <c r="AR14" i="42"/>
  <c r="AQ23" i="47"/>
  <c r="AR22" i="47"/>
  <c r="AP25" i="47"/>
  <c r="W14" i="42"/>
  <c r="T13" i="42"/>
  <c r="U12" i="42"/>
  <c r="P13" i="42"/>
  <c r="Q13" i="42" s="1"/>
  <c r="O14" i="42"/>
  <c r="L13" i="42"/>
  <c r="M12" i="42"/>
  <c r="Q25" i="47"/>
  <c r="O26" i="47"/>
  <c r="U23" i="47"/>
  <c r="S24" i="47"/>
  <c r="B25" i="47"/>
  <c r="H24" i="47"/>
  <c r="AH24" i="47"/>
  <c r="AK23" i="47"/>
  <c r="K26" i="47"/>
  <c r="M25" i="47"/>
  <c r="Y23" i="47"/>
  <c r="W24" i="47"/>
  <c r="AN22" i="47"/>
  <c r="BC22" i="47" s="1"/>
  <c r="AM23" i="47"/>
  <c r="AS25" i="47"/>
  <c r="AU24" i="47"/>
  <c r="AB22" i="47"/>
  <c r="AY22" i="47" s="1"/>
  <c r="AA23" i="47"/>
  <c r="AF23" i="47"/>
  <c r="AD24" i="47"/>
  <c r="AW38" i="47"/>
  <c r="C25" i="47"/>
  <c r="I24" i="47"/>
  <c r="BA9" i="42"/>
  <c r="AM13" i="42"/>
  <c r="AN12" i="42"/>
  <c r="BC12" i="42" s="1"/>
  <c r="AH14" i="42"/>
  <c r="I11" i="42"/>
  <c r="AB11" i="42"/>
  <c r="E13" i="42"/>
  <c r="AT12" i="42"/>
  <c r="AU11" i="42"/>
  <c r="AL14" i="44"/>
  <c r="K15" i="44"/>
  <c r="M14" i="44"/>
  <c r="AD13" i="44"/>
  <c r="AS13" i="44"/>
  <c r="AP15" i="44"/>
  <c r="O13" i="44"/>
  <c r="Q12" i="44"/>
  <c r="AG14" i="44"/>
  <c r="U12" i="44"/>
  <c r="S13" i="44"/>
  <c r="AX15" i="44"/>
  <c r="W15" i="44"/>
  <c r="Y14" i="44"/>
  <c r="AS14" i="42"/>
  <c r="X13" i="42"/>
  <c r="Y12" i="42"/>
  <c r="H12" i="42"/>
  <c r="B13" i="42"/>
  <c r="AE13" i="42"/>
  <c r="AF12" i="42"/>
  <c r="AM14" i="42"/>
  <c r="C13" i="42"/>
  <c r="AD15" i="42"/>
  <c r="S14" i="42"/>
  <c r="U13" i="42"/>
  <c r="AA13" i="42"/>
  <c r="H6" i="39"/>
  <c r="AY24" i="49" l="1"/>
  <c r="BG24" i="49" s="1"/>
  <c r="AC41" i="49"/>
  <c r="AX41" i="49"/>
  <c r="BE11" i="22"/>
  <c r="BF11" i="22" s="1"/>
  <c r="AN25" i="52"/>
  <c r="AW25" i="52"/>
  <c r="BB22" i="16"/>
  <c r="I25" i="52"/>
  <c r="BC22" i="16" s="1"/>
  <c r="BA24" i="16"/>
  <c r="F26" i="52"/>
  <c r="AB26" i="52" s="1"/>
  <c r="AY11" i="42"/>
  <c r="BA22" i="49"/>
  <c r="BN23" i="52"/>
  <c r="BF22" i="49"/>
  <c r="AW11" i="22"/>
  <c r="J15" i="22"/>
  <c r="AN16" i="22"/>
  <c r="AO15" i="22"/>
  <c r="AR13" i="22"/>
  <c r="AS12" i="22"/>
  <c r="BK10" i="22"/>
  <c r="BL10" i="22"/>
  <c r="AK10" i="22"/>
  <c r="BN16" i="1"/>
  <c r="BN17" i="22"/>
  <c r="BO14" i="22"/>
  <c r="AZ14" i="22" s="1"/>
  <c r="BO13" i="1"/>
  <c r="AG11" i="22"/>
  <c r="AF12" i="22"/>
  <c r="AI12" i="22"/>
  <c r="AJ11" i="22"/>
  <c r="BP12" i="1"/>
  <c r="BP13" i="22"/>
  <c r="AB13" i="22" s="1"/>
  <c r="BA12" i="22"/>
  <c r="AV12" i="22"/>
  <c r="AU13" i="22"/>
  <c r="BI9" i="22"/>
  <c r="BH9" i="22"/>
  <c r="AC12" i="22"/>
  <c r="U24" i="22"/>
  <c r="V23" i="22"/>
  <c r="AF25" i="52"/>
  <c r="AD26" i="52"/>
  <c r="AU26" i="52"/>
  <c r="AS27" i="52"/>
  <c r="O25" i="52"/>
  <c r="Q24" i="52"/>
  <c r="K26" i="52"/>
  <c r="M25" i="52"/>
  <c r="W26" i="52"/>
  <c r="Y25" i="52"/>
  <c r="S27" i="52"/>
  <c r="U26" i="52"/>
  <c r="E38" i="52"/>
  <c r="H25" i="52"/>
  <c r="B26" i="52"/>
  <c r="BM26" i="52" s="1"/>
  <c r="AM24" i="52"/>
  <c r="AP25" i="52"/>
  <c r="AR24" i="52"/>
  <c r="AA26" i="52"/>
  <c r="AH27" i="52"/>
  <c r="BD21" i="49"/>
  <c r="J26" i="49"/>
  <c r="N25" i="49"/>
  <c r="L26" i="49"/>
  <c r="AQ27" i="49"/>
  <c r="V26" i="49"/>
  <c r="T27" i="49"/>
  <c r="X25" i="49"/>
  <c r="Z24" i="49"/>
  <c r="AX36" i="49"/>
  <c r="AI26" i="49"/>
  <c r="AL25" i="49"/>
  <c r="AE26" i="49"/>
  <c r="AN26" i="49"/>
  <c r="AO25" i="49"/>
  <c r="C26" i="49"/>
  <c r="AB24" i="49"/>
  <c r="AF24" i="49"/>
  <c r="AG23" i="49"/>
  <c r="BF23" i="49" s="1"/>
  <c r="R25" i="49"/>
  <c r="P26" i="49"/>
  <c r="AR25" i="49"/>
  <c r="AS24" i="49"/>
  <c r="AT26" i="49"/>
  <c r="AV25" i="49"/>
  <c r="BC36" i="22"/>
  <c r="I37" i="22"/>
  <c r="T27" i="22"/>
  <c r="AM24" i="22"/>
  <c r="AE27" i="22"/>
  <c r="R25" i="22"/>
  <c r="P26" i="22"/>
  <c r="N23" i="22"/>
  <c r="L24" i="22"/>
  <c r="AY26" i="22"/>
  <c r="AQ25" i="22"/>
  <c r="AH24" i="22"/>
  <c r="AT26" i="22"/>
  <c r="X24" i="22"/>
  <c r="Z23" i="22"/>
  <c r="AJ13" i="42"/>
  <c r="AW26" i="42"/>
  <c r="K15" i="42"/>
  <c r="AP26" i="42"/>
  <c r="AQ16" i="42"/>
  <c r="AR15" i="42"/>
  <c r="AW12" i="42"/>
  <c r="AI13" i="42"/>
  <c r="AK12" i="42"/>
  <c r="I12" i="42"/>
  <c r="AP26" i="47"/>
  <c r="AQ24" i="47"/>
  <c r="AR23" i="47"/>
  <c r="W15" i="42"/>
  <c r="T14" i="42"/>
  <c r="P14" i="42"/>
  <c r="Q14" i="42"/>
  <c r="O15" i="42"/>
  <c r="L14" i="42"/>
  <c r="M13" i="42"/>
  <c r="BA22" i="47"/>
  <c r="Y24" i="47"/>
  <c r="W25" i="47"/>
  <c r="AB23" i="47"/>
  <c r="AA24" i="47"/>
  <c r="S25" i="47"/>
  <c r="U24" i="47"/>
  <c r="H25" i="47"/>
  <c r="B26" i="47"/>
  <c r="AW39" i="47"/>
  <c r="AS26" i="47"/>
  <c r="AU25" i="47"/>
  <c r="C26" i="47"/>
  <c r="I25" i="47"/>
  <c r="AM24" i="47"/>
  <c r="AN23" i="47"/>
  <c r="BC23" i="47" s="1"/>
  <c r="Q26" i="47"/>
  <c r="O27" i="47"/>
  <c r="K27" i="47"/>
  <c r="M26" i="47"/>
  <c r="AD25" i="47"/>
  <c r="AF24" i="47"/>
  <c r="AH25" i="47"/>
  <c r="AK24" i="47"/>
  <c r="BA10" i="42"/>
  <c r="AB12" i="42"/>
  <c r="AN13" i="42"/>
  <c r="BC13" i="42" s="1"/>
  <c r="AH15" i="42"/>
  <c r="E14" i="42"/>
  <c r="AT13" i="42"/>
  <c r="AU12" i="42"/>
  <c r="AP16" i="44"/>
  <c r="W16" i="44"/>
  <c r="Y15" i="44"/>
  <c r="AG15" i="44"/>
  <c r="AL15" i="44"/>
  <c r="O14" i="44"/>
  <c r="Q13" i="44"/>
  <c r="K16" i="44"/>
  <c r="M15" i="44"/>
  <c r="U13" i="44"/>
  <c r="S14" i="44"/>
  <c r="AS14" i="44"/>
  <c r="AX16" i="44"/>
  <c r="AD14" i="44"/>
  <c r="AM15" i="42"/>
  <c r="AD16" i="42"/>
  <c r="AA14" i="42"/>
  <c r="C14" i="42"/>
  <c r="AS15" i="42"/>
  <c r="S15" i="42"/>
  <c r="U14" i="42"/>
  <c r="AE14" i="42"/>
  <c r="AF13" i="42"/>
  <c r="H13" i="42"/>
  <c r="B14" i="42"/>
  <c r="X14" i="42"/>
  <c r="Y13" i="42"/>
  <c r="AY25" i="49" l="1"/>
  <c r="BG25" i="49" s="1"/>
  <c r="BE12" i="22"/>
  <c r="BF12" i="22" s="1"/>
  <c r="AN26" i="52"/>
  <c r="AW26" i="52"/>
  <c r="BB23" i="16"/>
  <c r="I26" i="52"/>
  <c r="BC23" i="16" s="1"/>
  <c r="BA25" i="16"/>
  <c r="F27" i="52"/>
  <c r="AB27" i="52" s="1"/>
  <c r="AY23" i="47"/>
  <c r="BA23" i="47" s="1"/>
  <c r="AY12" i="42"/>
  <c r="BA23" i="49"/>
  <c r="BN24" i="52"/>
  <c r="AN17" i="22"/>
  <c r="AO16" i="22"/>
  <c r="AI13" i="22"/>
  <c r="AJ12" i="22"/>
  <c r="BN17" i="1"/>
  <c r="BN18" i="22"/>
  <c r="BI10" i="22"/>
  <c r="BH10" i="22"/>
  <c r="AC13" i="22"/>
  <c r="BA13" i="22"/>
  <c r="AG12" i="22"/>
  <c r="AF13" i="22"/>
  <c r="J16" i="22"/>
  <c r="BP13" i="1"/>
  <c r="BP14" i="22"/>
  <c r="AB14" i="22" s="1"/>
  <c r="AU14" i="22"/>
  <c r="AV13" i="22"/>
  <c r="AW12" i="22"/>
  <c r="BL11" i="22"/>
  <c r="BK11" i="22"/>
  <c r="AK11" i="22"/>
  <c r="AR14" i="22"/>
  <c r="AS13" i="22"/>
  <c r="BO15" i="22"/>
  <c r="AZ15" i="22" s="1"/>
  <c r="BO14" i="1"/>
  <c r="U25" i="22"/>
  <c r="V24" i="22"/>
  <c r="Q25" i="52"/>
  <c r="O26" i="52"/>
  <c r="H26" i="52"/>
  <c r="B27" i="52"/>
  <c r="BM27" i="52" s="1"/>
  <c r="AS28" i="52"/>
  <c r="AU27" i="52"/>
  <c r="AH28" i="52"/>
  <c r="AD27" i="52"/>
  <c r="AF26" i="52"/>
  <c r="AA27" i="52"/>
  <c r="E39" i="52"/>
  <c r="Y26" i="52"/>
  <c r="W27" i="52"/>
  <c r="AR25" i="52"/>
  <c r="AP26" i="52"/>
  <c r="S28" i="52"/>
  <c r="U27" i="52"/>
  <c r="M26" i="52"/>
  <c r="K27" i="52"/>
  <c r="AM25" i="52"/>
  <c r="J27" i="49"/>
  <c r="BD22" i="49"/>
  <c r="AT27" i="49"/>
  <c r="AV26" i="49"/>
  <c r="AF25" i="49"/>
  <c r="AG24" i="49"/>
  <c r="BF24" i="49" s="1"/>
  <c r="AN27" i="49"/>
  <c r="AO26" i="49"/>
  <c r="X26" i="49"/>
  <c r="Z25" i="49"/>
  <c r="AX37" i="49"/>
  <c r="AR26" i="49"/>
  <c r="AS25" i="49"/>
  <c r="V27" i="49"/>
  <c r="T28" i="49"/>
  <c r="AE27" i="49"/>
  <c r="AL26" i="49"/>
  <c r="AI27" i="49"/>
  <c r="AQ28" i="49"/>
  <c r="AB25" i="49"/>
  <c r="P27" i="49"/>
  <c r="R26" i="49"/>
  <c r="C27" i="49"/>
  <c r="L27" i="49"/>
  <c r="N26" i="49"/>
  <c r="AH25" i="22"/>
  <c r="AE28" i="22"/>
  <c r="T28" i="22"/>
  <c r="AT27" i="22"/>
  <c r="L25" i="22"/>
  <c r="N24" i="22"/>
  <c r="AM25" i="22"/>
  <c r="X25" i="22"/>
  <c r="Z24" i="22"/>
  <c r="AY27" i="22"/>
  <c r="BC37" i="22"/>
  <c r="I38" i="22"/>
  <c r="P27" i="22"/>
  <c r="R26" i="22"/>
  <c r="AQ26" i="22"/>
  <c r="AY24" i="47"/>
  <c r="AP27" i="42"/>
  <c r="AJ14" i="42"/>
  <c r="AI14" i="42"/>
  <c r="AK13" i="42"/>
  <c r="K16" i="42"/>
  <c r="AQ17" i="42"/>
  <c r="AR16" i="42"/>
  <c r="AW27" i="42"/>
  <c r="AW13" i="42"/>
  <c r="AQ25" i="47"/>
  <c r="AR24" i="47"/>
  <c r="AP27" i="47"/>
  <c r="W16" i="42"/>
  <c r="T15" i="42"/>
  <c r="P15" i="42"/>
  <c r="Q15" i="42" s="1"/>
  <c r="O16" i="42"/>
  <c r="L15" i="42"/>
  <c r="M14" i="42"/>
  <c r="U25" i="47"/>
  <c r="S26" i="47"/>
  <c r="K28" i="47"/>
  <c r="M27" i="47"/>
  <c r="O28" i="47"/>
  <c r="Q27" i="47"/>
  <c r="AK25" i="47"/>
  <c r="AH26" i="47"/>
  <c r="AA25" i="47"/>
  <c r="AB24" i="47"/>
  <c r="AM25" i="47"/>
  <c r="AN24" i="47"/>
  <c r="BC24" i="47" s="1"/>
  <c r="AW40" i="47"/>
  <c r="AF25" i="47"/>
  <c r="AD26" i="47"/>
  <c r="H26" i="47"/>
  <c r="B27" i="47"/>
  <c r="W26" i="47"/>
  <c r="Y25" i="47"/>
  <c r="AS27" i="47"/>
  <c r="AU26" i="47"/>
  <c r="I26" i="47"/>
  <c r="C27" i="47"/>
  <c r="BA11" i="42"/>
  <c r="I13" i="42"/>
  <c r="AB13" i="42"/>
  <c r="AY13" i="42" s="1"/>
  <c r="AH16" i="42"/>
  <c r="E15" i="42"/>
  <c r="AT14" i="42"/>
  <c r="AU13" i="42"/>
  <c r="AG16" i="44"/>
  <c r="AD15" i="44"/>
  <c r="W17" i="44"/>
  <c r="Y16" i="44"/>
  <c r="AL16" i="44"/>
  <c r="AS15" i="44"/>
  <c r="M16" i="44"/>
  <c r="K17" i="44"/>
  <c r="U14" i="44"/>
  <c r="S15" i="44"/>
  <c r="AP17" i="44"/>
  <c r="AX17" i="44"/>
  <c r="O15" i="44"/>
  <c r="Q14" i="44"/>
  <c r="AE15" i="42"/>
  <c r="AF14" i="42"/>
  <c r="AA15" i="42"/>
  <c r="AD17" i="42"/>
  <c r="H14" i="42"/>
  <c r="B15" i="42"/>
  <c r="U15" i="42"/>
  <c r="S16" i="42"/>
  <c r="AS16" i="42"/>
  <c r="X15" i="42"/>
  <c r="Y14" i="42"/>
  <c r="C15" i="42"/>
  <c r="AN15" i="42"/>
  <c r="BC15" i="42" s="1"/>
  <c r="AM16" i="42"/>
  <c r="AY26" i="49" l="1"/>
  <c r="BG26" i="49" s="1"/>
  <c r="BE13" i="22"/>
  <c r="BF13" i="22" s="1"/>
  <c r="AN27" i="52"/>
  <c r="AW27" i="52"/>
  <c r="BB24" i="16"/>
  <c r="I27" i="52"/>
  <c r="BC24" i="16" s="1"/>
  <c r="BA26" i="16"/>
  <c r="F28" i="52"/>
  <c r="AB28" i="52" s="1"/>
  <c r="BA24" i="49"/>
  <c r="BN25" i="52"/>
  <c r="AC14" i="22"/>
  <c r="BP14" i="1"/>
  <c r="BP15" i="22"/>
  <c r="AB15" i="22" s="1"/>
  <c r="J17" i="22"/>
  <c r="BN18" i="1"/>
  <c r="BN19" i="22"/>
  <c r="BO16" i="22"/>
  <c r="AZ16" i="22" s="1"/>
  <c r="BO15" i="1"/>
  <c r="BL12" i="22"/>
  <c r="AK12" i="22"/>
  <c r="BK12" i="22"/>
  <c r="AW13" i="22"/>
  <c r="AI14" i="22"/>
  <c r="AJ13" i="22"/>
  <c r="AF14" i="22"/>
  <c r="AG13" i="22"/>
  <c r="AU15" i="22"/>
  <c r="AV14" i="22"/>
  <c r="BA14" i="22"/>
  <c r="BH11" i="22"/>
  <c r="BI11" i="22"/>
  <c r="AR15" i="22"/>
  <c r="AS14" i="22"/>
  <c r="AN18" i="22"/>
  <c r="AO17" i="22"/>
  <c r="U26" i="22"/>
  <c r="V25" i="22"/>
  <c r="AA28" i="52"/>
  <c r="AM26" i="52"/>
  <c r="AD28" i="52"/>
  <c r="AF27" i="52"/>
  <c r="AU28" i="52"/>
  <c r="AS29" i="52"/>
  <c r="K28" i="52"/>
  <c r="M27" i="52"/>
  <c r="Y27" i="52"/>
  <c r="W28" i="52"/>
  <c r="H27" i="52"/>
  <c r="B28" i="52"/>
  <c r="BM28" i="52" s="1"/>
  <c r="E40" i="52"/>
  <c r="AH29" i="52"/>
  <c r="Q26" i="52"/>
  <c r="O27" i="52"/>
  <c r="U28" i="52"/>
  <c r="S29" i="52"/>
  <c r="AP27" i="52"/>
  <c r="AR26" i="52"/>
  <c r="J28" i="49"/>
  <c r="BD23" i="49"/>
  <c r="C28" i="49"/>
  <c r="AR27" i="49"/>
  <c r="AS26" i="49"/>
  <c r="AF26" i="49"/>
  <c r="AG25" i="49"/>
  <c r="BF25" i="49" s="1"/>
  <c r="R27" i="49"/>
  <c r="P28" i="49"/>
  <c r="AX38" i="49"/>
  <c r="AB26" i="49"/>
  <c r="AE28" i="49"/>
  <c r="AT28" i="49"/>
  <c r="AV27" i="49"/>
  <c r="AQ29" i="49"/>
  <c r="T29" i="49"/>
  <c r="V28" i="49"/>
  <c r="Z26" i="49"/>
  <c r="X27" i="49"/>
  <c r="L28" i="49"/>
  <c r="N27" i="49"/>
  <c r="AI28" i="49"/>
  <c r="AL27" i="49"/>
  <c r="AY27" i="49" s="1"/>
  <c r="AN28" i="49"/>
  <c r="AO27" i="49"/>
  <c r="AY28" i="22"/>
  <c r="BC38" i="22"/>
  <c r="I39" i="22"/>
  <c r="AH26" i="22"/>
  <c r="X26" i="22"/>
  <c r="Z25" i="22"/>
  <c r="AT28" i="22"/>
  <c r="AE29" i="22"/>
  <c r="AQ27" i="22"/>
  <c r="T29" i="22"/>
  <c r="L26" i="22"/>
  <c r="N25" i="22"/>
  <c r="AM26" i="22"/>
  <c r="R27" i="22"/>
  <c r="P28" i="22"/>
  <c r="K17" i="42"/>
  <c r="AI15" i="42"/>
  <c r="AK14" i="42"/>
  <c r="AW28" i="42"/>
  <c r="AW15" i="42"/>
  <c r="AJ15" i="42"/>
  <c r="AW29" i="42"/>
  <c r="AP28" i="42"/>
  <c r="AW14" i="42"/>
  <c r="AN14" i="42"/>
  <c r="BC14" i="42" s="1"/>
  <c r="AB14" i="42"/>
  <c r="AQ18" i="42"/>
  <c r="AR17" i="42"/>
  <c r="AQ26" i="47"/>
  <c r="AR25" i="47"/>
  <c r="AP28" i="47"/>
  <c r="W17" i="42"/>
  <c r="T16" i="42"/>
  <c r="P16" i="42"/>
  <c r="O17" i="42"/>
  <c r="L16" i="42"/>
  <c r="M15" i="42"/>
  <c r="AS28" i="47"/>
  <c r="AU27" i="47"/>
  <c r="AK26" i="47"/>
  <c r="AH27" i="47"/>
  <c r="AN25" i="47"/>
  <c r="BC25" i="47" s="1"/>
  <c r="AM26" i="47"/>
  <c r="BA24" i="47"/>
  <c r="K29" i="47"/>
  <c r="M28" i="47"/>
  <c r="W27" i="47"/>
  <c r="Y26" i="47"/>
  <c r="I27" i="47"/>
  <c r="C28" i="47"/>
  <c r="H27" i="47"/>
  <c r="B28" i="47"/>
  <c r="AF26" i="47"/>
  <c r="AD27" i="47"/>
  <c r="U26" i="47"/>
  <c r="S27" i="47"/>
  <c r="Q28" i="47"/>
  <c r="O29" i="47"/>
  <c r="AA26" i="47"/>
  <c r="AB25" i="47"/>
  <c r="AY25" i="47" s="1"/>
  <c r="BA12" i="42"/>
  <c r="I14" i="42"/>
  <c r="AH17" i="42"/>
  <c r="E16" i="42"/>
  <c r="AT15" i="42"/>
  <c r="AU14" i="42"/>
  <c r="W18" i="44"/>
  <c r="Y17" i="44"/>
  <c r="AP18" i="44"/>
  <c r="K18" i="44"/>
  <c r="M17" i="44"/>
  <c r="O16" i="44"/>
  <c r="Q15" i="44"/>
  <c r="AS16" i="44"/>
  <c r="S16" i="44"/>
  <c r="U15" i="44"/>
  <c r="AL17" i="44"/>
  <c r="AD16" i="44"/>
  <c r="AX18" i="44"/>
  <c r="AG17" i="44"/>
  <c r="AD18" i="42"/>
  <c r="C16" i="42"/>
  <c r="I15" i="42"/>
  <c r="X16" i="42"/>
  <c r="Y15" i="42"/>
  <c r="AS17" i="42"/>
  <c r="S17" i="42"/>
  <c r="U16" i="42"/>
  <c r="AE16" i="42"/>
  <c r="AF15" i="42"/>
  <c r="AA16" i="42"/>
  <c r="AB15" i="42"/>
  <c r="AY15" i="42" s="1"/>
  <c r="AM17" i="42"/>
  <c r="B16" i="42"/>
  <c r="H15" i="42"/>
  <c r="BG27" i="49" l="1"/>
  <c r="BE14" i="22"/>
  <c r="BF14" i="22" s="1"/>
  <c r="AN28" i="52"/>
  <c r="AW28" i="52"/>
  <c r="BB25" i="16"/>
  <c r="I28" i="52"/>
  <c r="BC25" i="16" s="1"/>
  <c r="BA27" i="16"/>
  <c r="F29" i="52"/>
  <c r="AB29" i="52" s="1"/>
  <c r="AY14" i="42"/>
  <c r="BA25" i="49"/>
  <c r="BN26" i="52"/>
  <c r="AW14" i="22"/>
  <c r="AC15" i="22"/>
  <c r="J18" i="22"/>
  <c r="AI15" i="22"/>
  <c r="AJ14" i="22"/>
  <c r="BO17" i="22"/>
  <c r="AZ17" i="22" s="1"/>
  <c r="BO16" i="1"/>
  <c r="BA15" i="22"/>
  <c r="AF15" i="22"/>
  <c r="AG14" i="22"/>
  <c r="AN19" i="22"/>
  <c r="AO18" i="22"/>
  <c r="BP15" i="1"/>
  <c r="BP16" i="22"/>
  <c r="AB16" i="22" s="1"/>
  <c r="AU16" i="22"/>
  <c r="AV15" i="22"/>
  <c r="AR16" i="22"/>
  <c r="AS15" i="22"/>
  <c r="BK13" i="22"/>
  <c r="BL13" i="22"/>
  <c r="AK13" i="22"/>
  <c r="BH12" i="22"/>
  <c r="BI12" i="22"/>
  <c r="BN19" i="1"/>
  <c r="BN20" i="22"/>
  <c r="U27" i="22"/>
  <c r="V26" i="22"/>
  <c r="AS30" i="52"/>
  <c r="AU29" i="52"/>
  <c r="O28" i="52"/>
  <c r="Q27" i="52"/>
  <c r="H28" i="52"/>
  <c r="B29" i="52"/>
  <c r="BM29" i="52" s="1"/>
  <c r="AD29" i="52"/>
  <c r="AF28" i="52"/>
  <c r="AH30" i="52"/>
  <c r="W29" i="52"/>
  <c r="Y28" i="52"/>
  <c r="AM27" i="52"/>
  <c r="AR27" i="52"/>
  <c r="AP28" i="52"/>
  <c r="S30" i="52"/>
  <c r="U29" i="52"/>
  <c r="K29" i="52"/>
  <c r="M28" i="52"/>
  <c r="AA29" i="52"/>
  <c r="J29" i="49"/>
  <c r="BD24" i="49"/>
  <c r="AI29" i="49"/>
  <c r="AL28" i="49"/>
  <c r="AQ30" i="49"/>
  <c r="AB27" i="49"/>
  <c r="AF27" i="49"/>
  <c r="AG26" i="49"/>
  <c r="BF26" i="49" s="1"/>
  <c r="N28" i="49"/>
  <c r="L29" i="49"/>
  <c r="X28" i="49"/>
  <c r="Z27" i="49"/>
  <c r="AX40" i="49"/>
  <c r="AX39" i="49"/>
  <c r="AR28" i="49"/>
  <c r="AS27" i="49"/>
  <c r="AT29" i="49"/>
  <c r="AV28" i="49"/>
  <c r="AN29" i="49"/>
  <c r="AO28" i="49"/>
  <c r="C29" i="49"/>
  <c r="T30" i="49"/>
  <c r="V29" i="49"/>
  <c r="AE29" i="49"/>
  <c r="R28" i="49"/>
  <c r="P29" i="49"/>
  <c r="L27" i="22"/>
  <c r="N26" i="22"/>
  <c r="T30" i="22"/>
  <c r="AT29" i="22"/>
  <c r="AQ28" i="22"/>
  <c r="I40" i="22"/>
  <c r="BC39" i="22"/>
  <c r="P29" i="22"/>
  <c r="R28" i="22"/>
  <c r="AM27" i="22"/>
  <c r="AE30" i="22"/>
  <c r="Z26" i="22"/>
  <c r="X27" i="22"/>
  <c r="AY29" i="22"/>
  <c r="AH27" i="22"/>
  <c r="AW16" i="42"/>
  <c r="AI16" i="42"/>
  <c r="AK15" i="42"/>
  <c r="AJ16" i="42"/>
  <c r="K18" i="42"/>
  <c r="AP29" i="42"/>
  <c r="AW30" i="42"/>
  <c r="AN16" i="42"/>
  <c r="BC16" i="42" s="1"/>
  <c r="AQ19" i="42"/>
  <c r="AR18" i="42"/>
  <c r="AP29" i="47"/>
  <c r="AQ27" i="47"/>
  <c r="AR26" i="47"/>
  <c r="W18" i="42"/>
  <c r="T17" i="42"/>
  <c r="P17" i="42"/>
  <c r="Q16" i="42"/>
  <c r="O18" i="42"/>
  <c r="Q17" i="42"/>
  <c r="L17" i="42"/>
  <c r="M16" i="42"/>
  <c r="BA25" i="47"/>
  <c r="AN26" i="47"/>
  <c r="BC26" i="47" s="1"/>
  <c r="AM27" i="47"/>
  <c r="O30" i="47"/>
  <c r="Q29" i="47"/>
  <c r="I28" i="47"/>
  <c r="C29" i="47"/>
  <c r="W28" i="47"/>
  <c r="Y27" i="47"/>
  <c r="AK27" i="47"/>
  <c r="AH28" i="47"/>
  <c r="AF27" i="47"/>
  <c r="AD28" i="47"/>
  <c r="U27" i="47"/>
  <c r="S28" i="47"/>
  <c r="K30" i="47"/>
  <c r="M29" i="47"/>
  <c r="AA27" i="47"/>
  <c r="AB26" i="47"/>
  <c r="H28" i="47"/>
  <c r="B29" i="47"/>
  <c r="AS29" i="47"/>
  <c r="AU28" i="47"/>
  <c r="BA13" i="42"/>
  <c r="AH18" i="42"/>
  <c r="E17" i="42"/>
  <c r="AT16" i="42"/>
  <c r="AU15" i="42"/>
  <c r="AS17" i="44"/>
  <c r="AG18" i="44"/>
  <c r="AL18" i="44"/>
  <c r="Q16" i="44"/>
  <c r="O17" i="44"/>
  <c r="AP19" i="44"/>
  <c r="AX19" i="44"/>
  <c r="S17" i="44"/>
  <c r="U16" i="44"/>
  <c r="AD17" i="44"/>
  <c r="K19" i="44"/>
  <c r="M18" i="44"/>
  <c r="Y18" i="44"/>
  <c r="W19" i="44"/>
  <c r="AD19" i="42"/>
  <c r="S18" i="42"/>
  <c r="U17" i="42"/>
  <c r="AS18" i="42"/>
  <c r="X17" i="42"/>
  <c r="Y16" i="42"/>
  <c r="AE17" i="42"/>
  <c r="AF16" i="42"/>
  <c r="AM18" i="42"/>
  <c r="B17" i="42"/>
  <c r="H16" i="42"/>
  <c r="AA17" i="42"/>
  <c r="AB16" i="42"/>
  <c r="AY16" i="42" s="1"/>
  <c r="C17" i="42"/>
  <c r="I16" i="42"/>
  <c r="AD41" i="21"/>
  <c r="AY28" i="49" l="1"/>
  <c r="BG28" i="49" s="1"/>
  <c r="BE15" i="22"/>
  <c r="BF15" i="22" s="1"/>
  <c r="AN29" i="52"/>
  <c r="AW29" i="52"/>
  <c r="BB26" i="16"/>
  <c r="I29" i="52"/>
  <c r="BC26" i="16" s="1"/>
  <c r="BA28" i="16"/>
  <c r="F30" i="52"/>
  <c r="AB30" i="52" s="1"/>
  <c r="AY26" i="47"/>
  <c r="BA26" i="47" s="1"/>
  <c r="BA26" i="49"/>
  <c r="BN27" i="52"/>
  <c r="AW15" i="22"/>
  <c r="AC16" i="22"/>
  <c r="AI16" i="22"/>
  <c r="AJ15" i="22"/>
  <c r="AU17" i="22"/>
  <c r="AV16" i="22"/>
  <c r="BA16" i="22"/>
  <c r="J19" i="22"/>
  <c r="AN20" i="22"/>
  <c r="AO19" i="22"/>
  <c r="BL14" i="22"/>
  <c r="AK14" i="22"/>
  <c r="BK14" i="22"/>
  <c r="AF16" i="22"/>
  <c r="AG15" i="22"/>
  <c r="BN20" i="1"/>
  <c r="BN21" i="22"/>
  <c r="BP16" i="1"/>
  <c r="BP17" i="22"/>
  <c r="AB17" i="22" s="1"/>
  <c r="BO18" i="22"/>
  <c r="AZ18" i="22" s="1"/>
  <c r="BO17" i="1"/>
  <c r="BH13" i="22"/>
  <c r="BI13" i="22"/>
  <c r="AR17" i="22"/>
  <c r="AS16" i="22"/>
  <c r="U28" i="22"/>
  <c r="V27" i="22"/>
  <c r="Y29" i="52"/>
  <c r="W30" i="52"/>
  <c r="H29" i="52"/>
  <c r="B30" i="52"/>
  <c r="BM30" i="52" s="1"/>
  <c r="AR28" i="52"/>
  <c r="AP29" i="52"/>
  <c r="AH31" i="52"/>
  <c r="AA30" i="52"/>
  <c r="Q28" i="52"/>
  <c r="O29" i="52"/>
  <c r="K30" i="52"/>
  <c r="M29" i="52"/>
  <c r="AM28" i="52"/>
  <c r="AD30" i="52"/>
  <c r="AF29" i="52"/>
  <c r="AS31" i="52"/>
  <c r="AU30" i="52"/>
  <c r="U30" i="52"/>
  <c r="S31" i="52"/>
  <c r="BD25" i="49"/>
  <c r="J30" i="49"/>
  <c r="AE30" i="49"/>
  <c r="Z28" i="49"/>
  <c r="X29" i="49"/>
  <c r="V30" i="49"/>
  <c r="T31" i="49"/>
  <c r="N29" i="49"/>
  <c r="L30" i="49"/>
  <c r="C30" i="49"/>
  <c r="AT30" i="49"/>
  <c r="AV29" i="49"/>
  <c r="AQ31" i="49"/>
  <c r="P30" i="49"/>
  <c r="R29" i="49"/>
  <c r="AR29" i="49"/>
  <c r="AS28" i="49"/>
  <c r="AF28" i="49"/>
  <c r="AG27" i="49"/>
  <c r="AO29" i="49"/>
  <c r="AN30" i="49"/>
  <c r="AL29" i="49"/>
  <c r="AY29" i="49" s="1"/>
  <c r="AI30" i="49"/>
  <c r="AB28" i="49"/>
  <c r="BC40" i="22"/>
  <c r="T31" i="22"/>
  <c r="AQ29" i="22"/>
  <c r="AH28" i="22"/>
  <c r="AM28" i="22"/>
  <c r="AY30" i="22"/>
  <c r="AE31" i="22"/>
  <c r="P30" i="22"/>
  <c r="R29" i="22"/>
  <c r="Z27" i="22"/>
  <c r="X28" i="22"/>
  <c r="AT30" i="22"/>
  <c r="N27" i="22"/>
  <c r="L28" i="22"/>
  <c r="AP30" i="42"/>
  <c r="AW17" i="42"/>
  <c r="AJ17" i="42"/>
  <c r="AQ20" i="42"/>
  <c r="AR19" i="42"/>
  <c r="AW31" i="42"/>
  <c r="K19" i="42"/>
  <c r="AN17" i="42"/>
  <c r="BC17" i="42" s="1"/>
  <c r="AI17" i="42"/>
  <c r="AK16" i="42"/>
  <c r="AQ28" i="47"/>
  <c r="AR27" i="47"/>
  <c r="AP30" i="47"/>
  <c r="W19" i="42"/>
  <c r="T18" i="42"/>
  <c r="P18" i="42"/>
  <c r="O19" i="42"/>
  <c r="L18" i="42"/>
  <c r="M17" i="42"/>
  <c r="AF28" i="47"/>
  <c r="AD29" i="47"/>
  <c r="Q30" i="47"/>
  <c r="O31" i="47"/>
  <c r="U28" i="47"/>
  <c r="S29" i="47"/>
  <c r="AK28" i="47"/>
  <c r="AH29" i="47"/>
  <c r="AN27" i="47"/>
  <c r="BC27" i="47" s="1"/>
  <c r="AM28" i="47"/>
  <c r="W29" i="47"/>
  <c r="Y28" i="47"/>
  <c r="I29" i="47"/>
  <c r="C30" i="47"/>
  <c r="AS30" i="47"/>
  <c r="AU29" i="47"/>
  <c r="AA28" i="47"/>
  <c r="AB27" i="47"/>
  <c r="AY27" i="47" s="1"/>
  <c r="K31" i="47"/>
  <c r="M30" i="47"/>
  <c r="H29" i="47"/>
  <c r="B30" i="47"/>
  <c r="BA14" i="42"/>
  <c r="AH19" i="42"/>
  <c r="E18" i="42"/>
  <c r="AT17" i="42"/>
  <c r="AU16" i="42"/>
  <c r="AX20" i="44"/>
  <c r="AP20" i="44"/>
  <c r="AG19" i="44"/>
  <c r="AD18" i="44"/>
  <c r="Q17" i="44"/>
  <c r="O18" i="44"/>
  <c r="AL19" i="44"/>
  <c r="Y19" i="44"/>
  <c r="W20" i="44"/>
  <c r="U17" i="44"/>
  <c r="S18" i="44"/>
  <c r="M19" i="44"/>
  <c r="K20" i="44"/>
  <c r="AS18" i="44"/>
  <c r="U18" i="42"/>
  <c r="S19" i="42"/>
  <c r="AN18" i="42"/>
  <c r="BC18" i="42" s="1"/>
  <c r="I17" i="42"/>
  <c r="C18" i="42"/>
  <c r="H17" i="42"/>
  <c r="B18" i="42"/>
  <c r="AD20" i="42"/>
  <c r="X18" i="42"/>
  <c r="Y17" i="42"/>
  <c r="AS19" i="42"/>
  <c r="AM19" i="42"/>
  <c r="AE18" i="42"/>
  <c r="AF17" i="42"/>
  <c r="AA18" i="42"/>
  <c r="AB17" i="42"/>
  <c r="AY17" i="42" s="1"/>
  <c r="AD21" i="21"/>
  <c r="BG29" i="49" l="1"/>
  <c r="BE16" i="22"/>
  <c r="BF16" i="22" s="1"/>
  <c r="AN30" i="52"/>
  <c r="AW30" i="52"/>
  <c r="BB27" i="16"/>
  <c r="I30" i="52"/>
  <c r="BC27" i="16" s="1"/>
  <c r="BA29" i="16"/>
  <c r="F31" i="52"/>
  <c r="AB31" i="52" s="1"/>
  <c r="BA27" i="49"/>
  <c r="BN28" i="52"/>
  <c r="BF27" i="49"/>
  <c r="AW16" i="22"/>
  <c r="AC17" i="22"/>
  <c r="AG16" i="22"/>
  <c r="AF17" i="22"/>
  <c r="AN21" i="22"/>
  <c r="AO20" i="22"/>
  <c r="AV17" i="22"/>
  <c r="AU18" i="22"/>
  <c r="AI17" i="22"/>
  <c r="AJ16" i="22"/>
  <c r="BO19" i="22"/>
  <c r="AZ19" i="22" s="1"/>
  <c r="BO18" i="1"/>
  <c r="BP17" i="1"/>
  <c r="BP18" i="22"/>
  <c r="AB18" i="22" s="1"/>
  <c r="BH14" i="22"/>
  <c r="BI14" i="22"/>
  <c r="J20" i="22"/>
  <c r="BL15" i="22"/>
  <c r="BK15" i="22"/>
  <c r="AK15" i="22"/>
  <c r="AR18" i="22"/>
  <c r="AS17" i="22"/>
  <c r="BN21" i="1"/>
  <c r="BN22" i="22"/>
  <c r="BA17" i="22"/>
  <c r="U29" i="22"/>
  <c r="V28" i="22"/>
  <c r="AH32" i="52"/>
  <c r="O30" i="52"/>
  <c r="Q29" i="52"/>
  <c r="M30" i="52"/>
  <c r="K31" i="52"/>
  <c r="AU31" i="52"/>
  <c r="AS32" i="52"/>
  <c r="AR29" i="52"/>
  <c r="AP30" i="52"/>
  <c r="AD31" i="52"/>
  <c r="AF30" i="52"/>
  <c r="B31" i="52"/>
  <c r="BM31" i="52" s="1"/>
  <c r="H30" i="52"/>
  <c r="AM29" i="52"/>
  <c r="AA31" i="52"/>
  <c r="W31" i="52"/>
  <c r="Y30" i="52"/>
  <c r="U31" i="52"/>
  <c r="S32" i="52"/>
  <c r="J31" i="49"/>
  <c r="BD26" i="49"/>
  <c r="AR30" i="49"/>
  <c r="AS29" i="49"/>
  <c r="AI31" i="49"/>
  <c r="AL30" i="49"/>
  <c r="AV30" i="49"/>
  <c r="AT31" i="49"/>
  <c r="X30" i="49"/>
  <c r="Z29" i="49"/>
  <c r="R30" i="49"/>
  <c r="P31" i="49"/>
  <c r="C31" i="49"/>
  <c r="AO30" i="49"/>
  <c r="AN31" i="49"/>
  <c r="AQ32" i="49"/>
  <c r="L31" i="49"/>
  <c r="N30" i="49"/>
  <c r="AE31" i="49"/>
  <c r="AF29" i="49"/>
  <c r="AG28" i="49"/>
  <c r="T32" i="49"/>
  <c r="V31" i="49"/>
  <c r="AB29" i="49"/>
  <c r="AQ30" i="22"/>
  <c r="AT31" i="22"/>
  <c r="AY31" i="22"/>
  <c r="R30" i="22"/>
  <c r="P31" i="22"/>
  <c r="T32" i="22"/>
  <c r="X29" i="22"/>
  <c r="Z28" i="22"/>
  <c r="AE32" i="22"/>
  <c r="AM29" i="22"/>
  <c r="N28" i="22"/>
  <c r="L29" i="22"/>
  <c r="AH29" i="22"/>
  <c r="AY28" i="47"/>
  <c r="BA28" i="47" s="1"/>
  <c r="AJ18" i="42"/>
  <c r="AW18" i="42"/>
  <c r="AQ21" i="42"/>
  <c r="AR20" i="42"/>
  <c r="AW32" i="42"/>
  <c r="AI18" i="42"/>
  <c r="AK17" i="42"/>
  <c r="K20" i="42"/>
  <c r="AP31" i="42"/>
  <c r="AP31" i="47"/>
  <c r="AQ29" i="47"/>
  <c r="AR28" i="47"/>
  <c r="BA27" i="47"/>
  <c r="W20" i="42"/>
  <c r="T19" i="42"/>
  <c r="P19" i="42"/>
  <c r="Q18" i="42"/>
  <c r="O20" i="42"/>
  <c r="L19" i="42"/>
  <c r="M18" i="42"/>
  <c r="K32" i="47"/>
  <c r="M31" i="47"/>
  <c r="AS31" i="47"/>
  <c r="AU30" i="47"/>
  <c r="I30" i="47"/>
  <c r="C31" i="47"/>
  <c r="U29" i="47"/>
  <c r="S30" i="47"/>
  <c r="AA29" i="47"/>
  <c r="AB28" i="47"/>
  <c r="O32" i="47"/>
  <c r="Q31" i="47"/>
  <c r="W30" i="47"/>
  <c r="Y29" i="47"/>
  <c r="H30" i="47"/>
  <c r="B31" i="47"/>
  <c r="AN28" i="47"/>
  <c r="BC28" i="47" s="1"/>
  <c r="AM29" i="47"/>
  <c r="AF29" i="47"/>
  <c r="AD30" i="47"/>
  <c r="AK29" i="47"/>
  <c r="AH30" i="47"/>
  <c r="BA15" i="42"/>
  <c r="AH20" i="42"/>
  <c r="E19" i="42"/>
  <c r="AT18" i="42"/>
  <c r="AU17" i="42"/>
  <c r="Y20" i="44"/>
  <c r="W21" i="44"/>
  <c r="AP21" i="44"/>
  <c r="M20" i="44"/>
  <c r="K21" i="44"/>
  <c r="AL20" i="44"/>
  <c r="Q18" i="44"/>
  <c r="O19" i="44"/>
  <c r="AD19" i="44"/>
  <c r="AS19" i="44"/>
  <c r="U18" i="44"/>
  <c r="S19" i="44"/>
  <c r="AG20" i="44"/>
  <c r="AX21" i="44"/>
  <c r="AM20" i="42"/>
  <c r="X19" i="42"/>
  <c r="Y18" i="42"/>
  <c r="C19" i="42"/>
  <c r="I18" i="42"/>
  <c r="AB18" i="42"/>
  <c r="AY18" i="42" s="1"/>
  <c r="AA19" i="42"/>
  <c r="AS20" i="42"/>
  <c r="AD21" i="42"/>
  <c r="U19" i="42"/>
  <c r="S20" i="42"/>
  <c r="H18" i="42"/>
  <c r="B19" i="42"/>
  <c r="AE19" i="42"/>
  <c r="AF18" i="42"/>
  <c r="BZ41" i="17"/>
  <c r="BZ40" i="17"/>
  <c r="BZ39" i="17"/>
  <c r="BZ38" i="17"/>
  <c r="BZ37" i="17"/>
  <c r="BZ36" i="17"/>
  <c r="BZ35" i="17"/>
  <c r="BZ34" i="17"/>
  <c r="BZ33" i="17"/>
  <c r="BZ32" i="17"/>
  <c r="BZ31" i="17"/>
  <c r="BZ30" i="17"/>
  <c r="BZ29" i="17"/>
  <c r="BZ28" i="17"/>
  <c r="BZ27" i="17"/>
  <c r="BZ26" i="17"/>
  <c r="BZ25" i="17"/>
  <c r="BZ24" i="17"/>
  <c r="BZ23" i="17"/>
  <c r="BW23" i="17"/>
  <c r="BZ22" i="17"/>
  <c r="BW22" i="17"/>
  <c r="BZ21" i="17"/>
  <c r="BW21" i="17"/>
  <c r="BZ20" i="17"/>
  <c r="BX20" i="17"/>
  <c r="BW20" i="17"/>
  <c r="BZ19" i="17"/>
  <c r="BY19" i="17"/>
  <c r="BX19" i="17"/>
  <c r="BW19" i="17"/>
  <c r="BZ18" i="17"/>
  <c r="BY18" i="17"/>
  <c r="BX18" i="17"/>
  <c r="BW18" i="17"/>
  <c r="BZ17" i="17"/>
  <c r="BY17" i="17"/>
  <c r="BX17" i="17"/>
  <c r="BW17" i="17"/>
  <c r="BZ16" i="17"/>
  <c r="BY16" i="17"/>
  <c r="BX16" i="17"/>
  <c r="BW16" i="17"/>
  <c r="BZ15" i="17"/>
  <c r="BY15" i="17"/>
  <c r="BX15" i="17"/>
  <c r="BW15" i="17"/>
  <c r="BZ14" i="17"/>
  <c r="BY14" i="17"/>
  <c r="BX14" i="17"/>
  <c r="BW14" i="17"/>
  <c r="BZ13" i="17"/>
  <c r="BY13" i="17"/>
  <c r="BX13" i="17"/>
  <c r="BW13" i="17"/>
  <c r="BZ12" i="17"/>
  <c r="BY12" i="17"/>
  <c r="BX12" i="17"/>
  <c r="BW12" i="17"/>
  <c r="BZ11" i="17"/>
  <c r="BY11" i="17"/>
  <c r="BX11" i="17"/>
  <c r="BW11" i="17"/>
  <c r="BZ10" i="17"/>
  <c r="BY10" i="17"/>
  <c r="BX10" i="17"/>
  <c r="BW10" i="17"/>
  <c r="BZ9" i="17"/>
  <c r="BY9" i="17"/>
  <c r="BX9" i="17"/>
  <c r="BW9" i="17"/>
  <c r="BZ8" i="17"/>
  <c r="BY8" i="17"/>
  <c r="BX8" i="17"/>
  <c r="BW8" i="17"/>
  <c r="BZ7" i="17"/>
  <c r="BY7" i="17"/>
  <c r="BX7" i="17"/>
  <c r="BW7" i="17"/>
  <c r="AY30" i="49" l="1"/>
  <c r="BG30" i="49" s="1"/>
  <c r="BE17" i="22"/>
  <c r="BF17" i="22" s="1"/>
  <c r="AN31" i="52"/>
  <c r="AW31" i="52"/>
  <c r="BB28" i="16"/>
  <c r="I31" i="52"/>
  <c r="BC28" i="16" s="1"/>
  <c r="BA30" i="16"/>
  <c r="F32" i="52"/>
  <c r="AB32" i="52" s="1"/>
  <c r="BA28" i="49"/>
  <c r="AZ20" i="22"/>
  <c r="BN29" i="52"/>
  <c r="BF28" i="49"/>
  <c r="AW17" i="22"/>
  <c r="AC18" i="22"/>
  <c r="BN22" i="1"/>
  <c r="BN23" i="22"/>
  <c r="BO20" i="22"/>
  <c r="BO19" i="1"/>
  <c r="AN22" i="22"/>
  <c r="AO21" i="22"/>
  <c r="AR19" i="22"/>
  <c r="AS18" i="22"/>
  <c r="AG17" i="22"/>
  <c r="AF18" i="22"/>
  <c r="BH15" i="22"/>
  <c r="BI15" i="22"/>
  <c r="AI18" i="22"/>
  <c r="AJ17" i="22"/>
  <c r="BL16" i="22"/>
  <c r="AK16" i="22"/>
  <c r="BK16" i="22"/>
  <c r="BA18" i="22"/>
  <c r="J21" i="22"/>
  <c r="BP18" i="1"/>
  <c r="BP19" i="22"/>
  <c r="AB19" i="22" s="1"/>
  <c r="AV18" i="22"/>
  <c r="AU19" i="22"/>
  <c r="U30" i="22"/>
  <c r="V29" i="22"/>
  <c r="D8" i="17"/>
  <c r="B8" i="17"/>
  <c r="B9" i="17" s="1"/>
  <c r="H31" i="52"/>
  <c r="B32" i="52"/>
  <c r="BM32" i="52" s="1"/>
  <c r="K32" i="52"/>
  <c r="M31" i="52"/>
  <c r="U32" i="52"/>
  <c r="S33" i="52"/>
  <c r="AD32" i="52"/>
  <c r="AF31" i="52"/>
  <c r="O31" i="52"/>
  <c r="Q30" i="52"/>
  <c r="AM30" i="52"/>
  <c r="AR30" i="52"/>
  <c r="AP31" i="52"/>
  <c r="AH33" i="52"/>
  <c r="Y31" i="52"/>
  <c r="W32" i="52"/>
  <c r="AA32" i="52"/>
  <c r="AS33" i="52"/>
  <c r="AU32" i="52"/>
  <c r="J32" i="49"/>
  <c r="BD27" i="49"/>
  <c r="X31" i="49"/>
  <c r="Z30" i="49"/>
  <c r="AN32" i="49"/>
  <c r="AO31" i="49"/>
  <c r="AV31" i="49"/>
  <c r="AT32" i="49"/>
  <c r="T33" i="49"/>
  <c r="V32" i="49"/>
  <c r="L32" i="49"/>
  <c r="N31" i="49"/>
  <c r="C32" i="49"/>
  <c r="AQ33" i="49"/>
  <c r="AI32" i="49"/>
  <c r="AL31" i="49"/>
  <c r="AF30" i="49"/>
  <c r="AG29" i="49"/>
  <c r="P32" i="49"/>
  <c r="R31" i="49"/>
  <c r="AR31" i="49"/>
  <c r="AS30" i="49"/>
  <c r="AB30" i="49"/>
  <c r="AE32" i="49"/>
  <c r="AM30" i="22"/>
  <c r="AY32" i="22"/>
  <c r="AH30" i="22"/>
  <c r="Z29" i="22"/>
  <c r="X30" i="22"/>
  <c r="AT32" i="22"/>
  <c r="T33" i="22"/>
  <c r="L30" i="22"/>
  <c r="N29" i="22"/>
  <c r="P32" i="22"/>
  <c r="R31" i="22"/>
  <c r="AQ31" i="22"/>
  <c r="AE33" i="22"/>
  <c r="AI19" i="42"/>
  <c r="AK18" i="42"/>
  <c r="AJ19" i="42"/>
  <c r="AW19" i="42"/>
  <c r="AP32" i="42"/>
  <c r="AW33" i="42"/>
  <c r="K21" i="42"/>
  <c r="AQ22" i="42"/>
  <c r="AR21" i="42"/>
  <c r="AN19" i="42"/>
  <c r="BC19" i="42" s="1"/>
  <c r="AQ30" i="47"/>
  <c r="AR29" i="47"/>
  <c r="AP32" i="47"/>
  <c r="W21" i="42"/>
  <c r="T20" i="42"/>
  <c r="P20" i="42"/>
  <c r="Q19" i="42"/>
  <c r="O21" i="42"/>
  <c r="L20" i="42"/>
  <c r="M19" i="42"/>
  <c r="W31" i="47"/>
  <c r="Y30" i="47"/>
  <c r="U30" i="47"/>
  <c r="S31" i="47"/>
  <c r="AF30" i="47"/>
  <c r="AD31" i="47"/>
  <c r="I31" i="47"/>
  <c r="C32" i="47"/>
  <c r="AN29" i="47"/>
  <c r="BC29" i="47" s="1"/>
  <c r="AM30" i="47"/>
  <c r="Q32" i="47"/>
  <c r="O33" i="47"/>
  <c r="AK30" i="47"/>
  <c r="AH31" i="47"/>
  <c r="H31" i="47"/>
  <c r="B32" i="47"/>
  <c r="AS32" i="47"/>
  <c r="AU31" i="47"/>
  <c r="AA30" i="47"/>
  <c r="AB29" i="47"/>
  <c r="K33" i="47"/>
  <c r="M32" i="47"/>
  <c r="BA16" i="42"/>
  <c r="AH21" i="42"/>
  <c r="E20" i="42"/>
  <c r="AT19" i="42"/>
  <c r="AU18" i="42"/>
  <c r="AP22" i="44"/>
  <c r="M21" i="44"/>
  <c r="K22" i="44"/>
  <c r="O20" i="44"/>
  <c r="Q19" i="44"/>
  <c r="AX22" i="44"/>
  <c r="AG21" i="44"/>
  <c r="AS20" i="44"/>
  <c r="W22" i="44"/>
  <c r="Y21" i="44"/>
  <c r="AL21" i="44"/>
  <c r="S20" i="44"/>
  <c r="U19" i="44"/>
  <c r="AD20" i="44"/>
  <c r="S21" i="42"/>
  <c r="U20" i="42"/>
  <c r="B20" i="42"/>
  <c r="H19" i="42"/>
  <c r="C20" i="42"/>
  <c r="I19" i="42"/>
  <c r="X20" i="42"/>
  <c r="Y19" i="42"/>
  <c r="AA20" i="42"/>
  <c r="AB19" i="42"/>
  <c r="AS21" i="42"/>
  <c r="AE20" i="42"/>
  <c r="AF19" i="42"/>
  <c r="AD22" i="42"/>
  <c r="AM21" i="42"/>
  <c r="AY31" i="49" l="1"/>
  <c r="BG31" i="49" s="1"/>
  <c r="BE18" i="22"/>
  <c r="BF18" i="22" s="1"/>
  <c r="AW32" i="52"/>
  <c r="AN32" i="52"/>
  <c r="BB29" i="16"/>
  <c r="I32" i="52"/>
  <c r="BC29" i="16" s="1"/>
  <c r="BA31" i="16"/>
  <c r="F33" i="52"/>
  <c r="AB33" i="52" s="1"/>
  <c r="AY29" i="47"/>
  <c r="BA29" i="47" s="1"/>
  <c r="AY19" i="42"/>
  <c r="BA29" i="49"/>
  <c r="E8" i="17"/>
  <c r="BN30" i="52"/>
  <c r="BF29" i="49"/>
  <c r="J22" i="22"/>
  <c r="AI19" i="22"/>
  <c r="AJ18" i="22"/>
  <c r="AW18" i="22"/>
  <c r="AC19" i="22"/>
  <c r="BP19" i="1"/>
  <c r="BP20" i="22"/>
  <c r="AB20" i="22" s="1"/>
  <c r="BY20" i="17"/>
  <c r="AG18" i="22"/>
  <c r="AF19" i="22"/>
  <c r="BO21" i="22"/>
  <c r="AZ21" i="22" s="1"/>
  <c r="BO20" i="1"/>
  <c r="BX21" i="17"/>
  <c r="BH16" i="22"/>
  <c r="BI16" i="22"/>
  <c r="BK17" i="22"/>
  <c r="BL17" i="22"/>
  <c r="AK17" i="22"/>
  <c r="AR20" i="22"/>
  <c r="AS19" i="22"/>
  <c r="BA19" i="22"/>
  <c r="AU20" i="22"/>
  <c r="AV19" i="22"/>
  <c r="AN23" i="22"/>
  <c r="AO22" i="22"/>
  <c r="BN23" i="1"/>
  <c r="BN24" i="22"/>
  <c r="BW24" i="17"/>
  <c r="U31" i="22"/>
  <c r="V30" i="22"/>
  <c r="D9" i="17"/>
  <c r="C8" i="17"/>
  <c r="B10" i="17"/>
  <c r="C9" i="17"/>
  <c r="AM31" i="52"/>
  <c r="W33" i="52"/>
  <c r="Y32" i="52"/>
  <c r="O32" i="52"/>
  <c r="Q31" i="52"/>
  <c r="AH34" i="52"/>
  <c r="M32" i="52"/>
  <c r="K33" i="52"/>
  <c r="AS34" i="52"/>
  <c r="AU33" i="52"/>
  <c r="AF32" i="52"/>
  <c r="AD33" i="52"/>
  <c r="H32" i="52"/>
  <c r="B33" i="52"/>
  <c r="BM33" i="52" s="1"/>
  <c r="AA33" i="52"/>
  <c r="AP32" i="52"/>
  <c r="AR31" i="52"/>
  <c r="U33" i="52"/>
  <c r="S34" i="52"/>
  <c r="BD28" i="49"/>
  <c r="J33" i="49"/>
  <c r="AQ34" i="49"/>
  <c r="T34" i="49"/>
  <c r="V33" i="49"/>
  <c r="AE33" i="49"/>
  <c r="P33" i="49"/>
  <c r="R32" i="49"/>
  <c r="C33" i="49"/>
  <c r="AT33" i="49"/>
  <c r="AV32" i="49"/>
  <c r="AB31" i="49"/>
  <c r="AF31" i="49"/>
  <c r="AG30" i="49"/>
  <c r="N32" i="49"/>
  <c r="L33" i="49"/>
  <c r="AO32" i="49"/>
  <c r="AN33" i="49"/>
  <c r="AR32" i="49"/>
  <c r="AS31" i="49"/>
  <c r="AI33" i="49"/>
  <c r="AL32" i="49"/>
  <c r="X32" i="49"/>
  <c r="Z31" i="49"/>
  <c r="N30" i="22"/>
  <c r="L31" i="22"/>
  <c r="AH31" i="22"/>
  <c r="AQ32" i="22"/>
  <c r="T34" i="22"/>
  <c r="AY33" i="22"/>
  <c r="X31" i="22"/>
  <c r="Z30" i="22"/>
  <c r="R32" i="22"/>
  <c r="P33" i="22"/>
  <c r="AT33" i="22"/>
  <c r="AM31" i="22"/>
  <c r="AE34" i="22"/>
  <c r="K22" i="42"/>
  <c r="AW34" i="42"/>
  <c r="AW20" i="42"/>
  <c r="AN20" i="42"/>
  <c r="BC20" i="42" s="1"/>
  <c r="AJ20" i="42"/>
  <c r="AI20" i="42"/>
  <c r="AK19" i="42"/>
  <c r="AQ23" i="42"/>
  <c r="AR22" i="42"/>
  <c r="AP33" i="42"/>
  <c r="AP33" i="47"/>
  <c r="AQ31" i="47"/>
  <c r="AR30" i="47"/>
  <c r="W22" i="42"/>
  <c r="T21" i="42"/>
  <c r="P21" i="42"/>
  <c r="Q21" i="42" s="1"/>
  <c r="Q20" i="42"/>
  <c r="BA17" i="42"/>
  <c r="O22" i="42"/>
  <c r="L21" i="42"/>
  <c r="M20" i="42"/>
  <c r="O34" i="47"/>
  <c r="Q33" i="47"/>
  <c r="U31" i="47"/>
  <c r="S32" i="47"/>
  <c r="AS33" i="47"/>
  <c r="AU32" i="47"/>
  <c r="H32" i="47"/>
  <c r="B33" i="47"/>
  <c r="AF31" i="47"/>
  <c r="AD32" i="47"/>
  <c r="AN30" i="47"/>
  <c r="BC30" i="47" s="1"/>
  <c r="AM31" i="47"/>
  <c r="K34" i="47"/>
  <c r="M33" i="47"/>
  <c r="I32" i="47"/>
  <c r="C33" i="47"/>
  <c r="AA31" i="47"/>
  <c r="AB30" i="47"/>
  <c r="AY30" i="47" s="1"/>
  <c r="AK31" i="47"/>
  <c r="AH32" i="47"/>
  <c r="W32" i="47"/>
  <c r="Y31" i="47"/>
  <c r="B21" i="42"/>
  <c r="AN21" i="42"/>
  <c r="BC21" i="42" s="1"/>
  <c r="AH22" i="42"/>
  <c r="AT20" i="42"/>
  <c r="AU19" i="42"/>
  <c r="Q20" i="44"/>
  <c r="O21" i="44"/>
  <c r="AD21" i="44"/>
  <c r="K23" i="44"/>
  <c r="M22" i="44"/>
  <c r="AS21" i="44"/>
  <c r="S21" i="44"/>
  <c r="U20" i="44"/>
  <c r="AG22" i="44"/>
  <c r="AX23" i="44"/>
  <c r="AL22" i="44"/>
  <c r="Y22" i="44"/>
  <c r="W23" i="44"/>
  <c r="AP23" i="44"/>
  <c r="X21" i="42"/>
  <c r="Y20" i="42"/>
  <c r="H20" i="42"/>
  <c r="AS22" i="42"/>
  <c r="S22" i="42"/>
  <c r="U21" i="42"/>
  <c r="AM22" i="42"/>
  <c r="AD23" i="42"/>
  <c r="AE21" i="42"/>
  <c r="AF20" i="42"/>
  <c r="AA21" i="42"/>
  <c r="AB20" i="42"/>
  <c r="AY20" i="42" s="1"/>
  <c r="I20" i="42"/>
  <c r="C21" i="42"/>
  <c r="AY32" i="49" l="1"/>
  <c r="BG32" i="49" s="1"/>
  <c r="BE19" i="22"/>
  <c r="BF19" i="22" s="1"/>
  <c r="AW33" i="52"/>
  <c r="AN33" i="52"/>
  <c r="BB30" i="16"/>
  <c r="I33" i="52"/>
  <c r="BC30" i="16" s="1"/>
  <c r="BA32" i="16"/>
  <c r="F34" i="52"/>
  <c r="AB34" i="52" s="1"/>
  <c r="BA30" i="49"/>
  <c r="E9" i="17"/>
  <c r="BN31" i="52"/>
  <c r="BD29" i="49"/>
  <c r="BF30" i="49"/>
  <c r="AW19" i="22"/>
  <c r="BP20" i="1"/>
  <c r="BP21" i="22"/>
  <c r="AB21" i="22" s="1"/>
  <c r="BY21" i="17"/>
  <c r="BH17" i="22"/>
  <c r="BI17" i="22"/>
  <c r="BA20" i="22"/>
  <c r="AC20" i="22"/>
  <c r="BO22" i="22"/>
  <c r="AZ22" i="22" s="1"/>
  <c r="BO21" i="1"/>
  <c r="BX22" i="17"/>
  <c r="BN24" i="1"/>
  <c r="BN25" i="22"/>
  <c r="BW25" i="17"/>
  <c r="AG19" i="22"/>
  <c r="AF20" i="22"/>
  <c r="AN24" i="22"/>
  <c r="AO23" i="22"/>
  <c r="AR21" i="22"/>
  <c r="AS20" i="22"/>
  <c r="BK18" i="22"/>
  <c r="AK18" i="22"/>
  <c r="BL18" i="22"/>
  <c r="AI20" i="22"/>
  <c r="AJ19" i="22"/>
  <c r="AV20" i="22"/>
  <c r="AU21" i="22"/>
  <c r="J23" i="22"/>
  <c r="U32" i="22"/>
  <c r="V31" i="22"/>
  <c r="D10" i="17"/>
  <c r="B11" i="17"/>
  <c r="C10" i="17"/>
  <c r="W34" i="52"/>
  <c r="Y33" i="52"/>
  <c r="H33" i="52"/>
  <c r="B34" i="52"/>
  <c r="BM34" i="52" s="1"/>
  <c r="AM32" i="52"/>
  <c r="AH35" i="52"/>
  <c r="S35" i="52"/>
  <c r="U34" i="52"/>
  <c r="AD34" i="52"/>
  <c r="AF33" i="52"/>
  <c r="AA34" i="52"/>
  <c r="AR32" i="52"/>
  <c r="AP33" i="52"/>
  <c r="AS35" i="52"/>
  <c r="AU34" i="52"/>
  <c r="Q32" i="52"/>
  <c r="O33" i="52"/>
  <c r="M33" i="52"/>
  <c r="K34" i="52"/>
  <c r="J34" i="49"/>
  <c r="AO33" i="49"/>
  <c r="AN34" i="49"/>
  <c r="P34" i="49"/>
  <c r="R33" i="49"/>
  <c r="X33" i="49"/>
  <c r="Z32" i="49"/>
  <c r="AB32" i="49"/>
  <c r="L34" i="49"/>
  <c r="N33" i="49"/>
  <c r="AE34" i="49"/>
  <c r="AT34" i="49"/>
  <c r="AV33" i="49"/>
  <c r="V34" i="49"/>
  <c r="T35" i="49"/>
  <c r="AI34" i="49"/>
  <c r="AL33" i="49"/>
  <c r="AY33" i="49" s="1"/>
  <c r="C34" i="49"/>
  <c r="AQ35" i="49"/>
  <c r="AR33" i="49"/>
  <c r="AS32" i="49"/>
  <c r="AF32" i="49"/>
  <c r="AG31" i="49"/>
  <c r="AE35" i="22"/>
  <c r="AM32" i="22"/>
  <c r="AT34" i="22"/>
  <c r="X32" i="22"/>
  <c r="Z31" i="22"/>
  <c r="AY34" i="22"/>
  <c r="R33" i="22"/>
  <c r="P34" i="22"/>
  <c r="AH32" i="22"/>
  <c r="AQ33" i="22"/>
  <c r="L32" i="22"/>
  <c r="N31" i="22"/>
  <c r="T35" i="22"/>
  <c r="AP34" i="42"/>
  <c r="AJ21" i="42"/>
  <c r="AQ24" i="42"/>
  <c r="AR23" i="42"/>
  <c r="K23" i="42"/>
  <c r="AI21" i="42"/>
  <c r="AK20" i="42"/>
  <c r="AW35" i="42"/>
  <c r="AQ32" i="47"/>
  <c r="AR31" i="47"/>
  <c r="AP34" i="47"/>
  <c r="W23" i="42"/>
  <c r="T22" i="42"/>
  <c r="P22" i="42"/>
  <c r="O23" i="42"/>
  <c r="L22" i="42"/>
  <c r="M21" i="42"/>
  <c r="BA30" i="47"/>
  <c r="AK32" i="47"/>
  <c r="AH33" i="47"/>
  <c r="AS34" i="47"/>
  <c r="AU33" i="47"/>
  <c r="AN31" i="47"/>
  <c r="BC31" i="47" s="1"/>
  <c r="AM32" i="47"/>
  <c r="I33" i="47"/>
  <c r="C34" i="47"/>
  <c r="AF32" i="47"/>
  <c r="AD33" i="47"/>
  <c r="W33" i="47"/>
  <c r="Y32" i="47"/>
  <c r="H33" i="47"/>
  <c r="B34" i="47"/>
  <c r="AA32" i="47"/>
  <c r="AB31" i="47"/>
  <c r="AY31" i="47" s="1"/>
  <c r="U32" i="47"/>
  <c r="S33" i="47"/>
  <c r="K35" i="47"/>
  <c r="M34" i="47"/>
  <c r="Q34" i="47"/>
  <c r="O35" i="47"/>
  <c r="AN22" i="42"/>
  <c r="BC22" i="42" s="1"/>
  <c r="BA18" i="42"/>
  <c r="AH23" i="42"/>
  <c r="AT21" i="42"/>
  <c r="AU20" i="42"/>
  <c r="Q21" i="44"/>
  <c r="O22" i="44"/>
  <c r="M23" i="44"/>
  <c r="K24" i="44"/>
  <c r="AS22" i="44"/>
  <c r="AP24" i="44"/>
  <c r="U21" i="44"/>
  <c r="S22" i="44"/>
  <c r="AL23" i="44"/>
  <c r="AX24" i="44"/>
  <c r="AD22" i="44"/>
  <c r="AG23" i="44"/>
  <c r="Y23" i="44"/>
  <c r="W24" i="44"/>
  <c r="AD24" i="42"/>
  <c r="H21" i="42"/>
  <c r="B22" i="42"/>
  <c r="AE22" i="42"/>
  <c r="AF21" i="42"/>
  <c r="I21" i="42"/>
  <c r="C22" i="42"/>
  <c r="AA22" i="42"/>
  <c r="AB21" i="42"/>
  <c r="AY21" i="42" s="1"/>
  <c r="AS23" i="42"/>
  <c r="AM23" i="42"/>
  <c r="S23" i="42"/>
  <c r="U22" i="42"/>
  <c r="X22" i="42"/>
  <c r="Y21" i="42"/>
  <c r="BG33" i="49" l="1"/>
  <c r="BE20" i="22"/>
  <c r="BF20" i="22" s="1"/>
  <c r="AN34" i="52"/>
  <c r="AW34" i="52"/>
  <c r="BB31" i="16"/>
  <c r="I34" i="52"/>
  <c r="BC31" i="16" s="1"/>
  <c r="BA33" i="16"/>
  <c r="F35" i="52"/>
  <c r="AB35" i="52" s="1"/>
  <c r="BA31" i="49"/>
  <c r="E10" i="17"/>
  <c r="BN32" i="52"/>
  <c r="BF31" i="49"/>
  <c r="AW20" i="22"/>
  <c r="AU22" i="22"/>
  <c r="AV21" i="22"/>
  <c r="AC21" i="22"/>
  <c r="AI21" i="22"/>
  <c r="AJ20" i="22"/>
  <c r="AR22" i="22"/>
  <c r="AS21" i="22"/>
  <c r="BN25" i="1"/>
  <c r="BN26" i="22"/>
  <c r="BW26" i="17"/>
  <c r="AN25" i="22"/>
  <c r="AO24" i="22"/>
  <c r="BO23" i="22"/>
  <c r="AZ23" i="22" s="1"/>
  <c r="BO22" i="1"/>
  <c r="BX23" i="17"/>
  <c r="J24" i="22"/>
  <c r="BH18" i="22"/>
  <c r="BI18" i="22"/>
  <c r="AF21" i="22"/>
  <c r="AG20" i="22"/>
  <c r="BL19" i="22"/>
  <c r="BK19" i="22"/>
  <c r="AK19" i="22"/>
  <c r="BA21" i="22"/>
  <c r="BP21" i="1"/>
  <c r="BP22" i="22"/>
  <c r="AB22" i="22" s="1"/>
  <c r="BY22" i="17"/>
  <c r="U33" i="22"/>
  <c r="V32" i="22"/>
  <c r="D11" i="17"/>
  <c r="B12" i="17"/>
  <c r="C11" i="17"/>
  <c r="AA35" i="52"/>
  <c r="AU35" i="52"/>
  <c r="AS36" i="52"/>
  <c r="AP34" i="52"/>
  <c r="AR33" i="52"/>
  <c r="AM33" i="52"/>
  <c r="AD35" i="52"/>
  <c r="AF34" i="52"/>
  <c r="B35" i="52"/>
  <c r="BM35" i="52" s="1"/>
  <c r="H34" i="52"/>
  <c r="M34" i="52"/>
  <c r="K35" i="52"/>
  <c r="U35" i="52"/>
  <c r="S36" i="52"/>
  <c r="Q33" i="52"/>
  <c r="O34" i="52"/>
  <c r="AH36" i="52"/>
  <c r="W35" i="52"/>
  <c r="Y34" i="52"/>
  <c r="BD30" i="49"/>
  <c r="J35" i="49"/>
  <c r="AF33" i="49"/>
  <c r="AG32" i="49"/>
  <c r="BF32" i="49" s="1"/>
  <c r="AI35" i="49"/>
  <c r="AL34" i="49"/>
  <c r="AY34" i="49" s="1"/>
  <c r="AE35" i="49"/>
  <c r="Z33" i="49"/>
  <c r="X34" i="49"/>
  <c r="AR34" i="49"/>
  <c r="AS33" i="49"/>
  <c r="V35" i="49"/>
  <c r="T36" i="49"/>
  <c r="AQ36" i="49"/>
  <c r="L35" i="49"/>
  <c r="N34" i="49"/>
  <c r="P35" i="49"/>
  <c r="R34" i="49"/>
  <c r="AV34" i="49"/>
  <c r="AT35" i="49"/>
  <c r="AN35" i="49"/>
  <c r="AO34" i="49"/>
  <c r="C35" i="49"/>
  <c r="AB33" i="49"/>
  <c r="AY35" i="22"/>
  <c r="AM33" i="22"/>
  <c r="AT35" i="22"/>
  <c r="L33" i="22"/>
  <c r="N32" i="22"/>
  <c r="T36" i="22"/>
  <c r="AH33" i="22"/>
  <c r="X33" i="22"/>
  <c r="Z32" i="22"/>
  <c r="P35" i="22"/>
  <c r="R34" i="22"/>
  <c r="AE36" i="22"/>
  <c r="AQ34" i="22"/>
  <c r="AI22" i="42"/>
  <c r="AK21" i="42"/>
  <c r="K24" i="42"/>
  <c r="AJ22" i="42"/>
  <c r="AP35" i="42"/>
  <c r="AW36" i="42"/>
  <c r="AQ25" i="42"/>
  <c r="AR24" i="42"/>
  <c r="AQ33" i="47"/>
  <c r="AR32" i="47"/>
  <c r="AP35" i="47"/>
  <c r="W24" i="42"/>
  <c r="T23" i="42"/>
  <c r="P23" i="42"/>
  <c r="Q22" i="42"/>
  <c r="O24" i="42"/>
  <c r="Q23" i="42"/>
  <c r="L23" i="42"/>
  <c r="M22" i="42"/>
  <c r="BA31" i="47"/>
  <c r="K36" i="47"/>
  <c r="M35" i="47"/>
  <c r="W34" i="47"/>
  <c r="Y33" i="47"/>
  <c r="AN32" i="47"/>
  <c r="BC32" i="47" s="1"/>
  <c r="AM33" i="47"/>
  <c r="AF33" i="47"/>
  <c r="AD34" i="47"/>
  <c r="I34" i="47"/>
  <c r="C35" i="47"/>
  <c r="U33" i="47"/>
  <c r="S34" i="47"/>
  <c r="O36" i="47"/>
  <c r="Q35" i="47"/>
  <c r="AS35" i="47"/>
  <c r="AU34" i="47"/>
  <c r="AA33" i="47"/>
  <c r="AB32" i="47"/>
  <c r="AY32" i="47" s="1"/>
  <c r="AK33" i="47"/>
  <c r="AH34" i="47"/>
  <c r="H34" i="47"/>
  <c r="B35" i="47"/>
  <c r="BA19" i="42"/>
  <c r="AN23" i="42"/>
  <c r="BC23" i="42" s="1"/>
  <c r="AH24" i="42"/>
  <c r="AT22" i="42"/>
  <c r="AU21" i="42"/>
  <c r="AP25" i="44"/>
  <c r="M24" i="44"/>
  <c r="K25" i="44"/>
  <c r="AX25" i="44"/>
  <c r="AD23" i="44"/>
  <c r="AS23" i="44"/>
  <c r="O23" i="44"/>
  <c r="Q22" i="44"/>
  <c r="U22" i="44"/>
  <c r="S23" i="44"/>
  <c r="W25" i="44"/>
  <c r="Y24" i="44"/>
  <c r="AG24" i="44"/>
  <c r="AL24" i="44"/>
  <c r="AM24" i="42"/>
  <c r="AW37" i="42"/>
  <c r="H22" i="42"/>
  <c r="B23" i="42"/>
  <c r="X23" i="42"/>
  <c r="Y22" i="42"/>
  <c r="I22" i="42"/>
  <c r="C23" i="42"/>
  <c r="S24" i="42"/>
  <c r="U23" i="42"/>
  <c r="AD25" i="42"/>
  <c r="AE23" i="42"/>
  <c r="AF22" i="42"/>
  <c r="AS24" i="42"/>
  <c r="AA23" i="42"/>
  <c r="AB22" i="42"/>
  <c r="AY22" i="42" s="1"/>
  <c r="BG34" i="49" l="1"/>
  <c r="BE21" i="22"/>
  <c r="BF21" i="22" s="1"/>
  <c r="AN35" i="52"/>
  <c r="AW35" i="52"/>
  <c r="BB32" i="16"/>
  <c r="I35" i="52"/>
  <c r="BC32" i="16" s="1"/>
  <c r="F36" i="52"/>
  <c r="AB36" i="52" s="1"/>
  <c r="BA32" i="49"/>
  <c r="E11" i="17"/>
  <c r="BN33" i="52"/>
  <c r="AC22" i="22"/>
  <c r="AN26" i="22"/>
  <c r="AO25" i="22"/>
  <c r="AR23" i="22"/>
  <c r="AS22" i="22"/>
  <c r="BH19" i="22"/>
  <c r="BI19" i="22"/>
  <c r="BA22" i="22"/>
  <c r="BK20" i="22"/>
  <c r="BL20" i="22"/>
  <c r="AK20" i="22"/>
  <c r="BO24" i="22"/>
  <c r="AZ24" i="22" s="1"/>
  <c r="BX24" i="17"/>
  <c r="BO23" i="1"/>
  <c r="AW21" i="22"/>
  <c r="AI22" i="22"/>
  <c r="AJ21" i="22"/>
  <c r="BP22" i="1"/>
  <c r="BP23" i="22"/>
  <c r="AB23" i="22" s="1"/>
  <c r="BY23" i="17"/>
  <c r="J25" i="22"/>
  <c r="AF22" i="22"/>
  <c r="AG21" i="22"/>
  <c r="BN26" i="1"/>
  <c r="BN27" i="22"/>
  <c r="BW27" i="17"/>
  <c r="AU23" i="22"/>
  <c r="AV22" i="22"/>
  <c r="U34" i="22"/>
  <c r="V33" i="22"/>
  <c r="D12" i="17"/>
  <c r="C12" i="17"/>
  <c r="B13" i="17"/>
  <c r="H35" i="52"/>
  <c r="B36" i="52"/>
  <c r="BM36" i="52" s="1"/>
  <c r="AU36" i="52"/>
  <c r="AS37" i="52"/>
  <c r="Y35" i="52"/>
  <c r="W36" i="52"/>
  <c r="AD36" i="52"/>
  <c r="AF35" i="52"/>
  <c r="AH37" i="52"/>
  <c r="AM34" i="52"/>
  <c r="AA36" i="52"/>
  <c r="Q34" i="52"/>
  <c r="O35" i="52"/>
  <c r="M35" i="52"/>
  <c r="K36" i="52"/>
  <c r="AP35" i="52"/>
  <c r="AR34" i="52"/>
  <c r="U36" i="52"/>
  <c r="S37" i="52"/>
  <c r="J36" i="49"/>
  <c r="BD31" i="49"/>
  <c r="AB34" i="49"/>
  <c r="AT36" i="49"/>
  <c r="AV35" i="49"/>
  <c r="AQ37" i="49"/>
  <c r="AE36" i="49"/>
  <c r="C36" i="49"/>
  <c r="T37" i="49"/>
  <c r="V36" i="49"/>
  <c r="R35" i="49"/>
  <c r="P36" i="49"/>
  <c r="AI36" i="49"/>
  <c r="AL35" i="49"/>
  <c r="AN36" i="49"/>
  <c r="AO35" i="49"/>
  <c r="L36" i="49"/>
  <c r="N35" i="49"/>
  <c r="AR35" i="49"/>
  <c r="AS34" i="49"/>
  <c r="AF34" i="49"/>
  <c r="AG33" i="49"/>
  <c r="BF33" i="49" s="1"/>
  <c r="Z34" i="49"/>
  <c r="X35" i="49"/>
  <c r="L34" i="22"/>
  <c r="N33" i="22"/>
  <c r="Z33" i="22"/>
  <c r="X34" i="22"/>
  <c r="AT36" i="22"/>
  <c r="AY36" i="22"/>
  <c r="P36" i="22"/>
  <c r="R35" i="22"/>
  <c r="AQ35" i="22"/>
  <c r="AH34" i="22"/>
  <c r="AE37" i="22"/>
  <c r="AM34" i="22"/>
  <c r="T37" i="22"/>
  <c r="BA20" i="42"/>
  <c r="K25" i="42"/>
  <c r="AP36" i="42"/>
  <c r="AQ26" i="42"/>
  <c r="AR25" i="42"/>
  <c r="AJ23" i="42"/>
  <c r="AI23" i="42"/>
  <c r="AK22" i="42"/>
  <c r="AP36" i="47"/>
  <c r="AQ34" i="47"/>
  <c r="AR33" i="47"/>
  <c r="W25" i="42"/>
  <c r="T24" i="42"/>
  <c r="P24" i="42"/>
  <c r="O25" i="42"/>
  <c r="L24" i="42"/>
  <c r="M23" i="42"/>
  <c r="BA32" i="47"/>
  <c r="Q36" i="47"/>
  <c r="O37" i="47"/>
  <c r="U34" i="47"/>
  <c r="S35" i="47"/>
  <c r="W35" i="47"/>
  <c r="Y34" i="47"/>
  <c r="I35" i="47"/>
  <c r="C36" i="47"/>
  <c r="AK34" i="47"/>
  <c r="AH35" i="47"/>
  <c r="AF34" i="47"/>
  <c r="AD35" i="47"/>
  <c r="AS36" i="47"/>
  <c r="AU35" i="47"/>
  <c r="AA34" i="47"/>
  <c r="AB33" i="47"/>
  <c r="H35" i="47"/>
  <c r="B36" i="47"/>
  <c r="AN33" i="47"/>
  <c r="BC33" i="47" s="1"/>
  <c r="AM34" i="47"/>
  <c r="K37" i="47"/>
  <c r="M36" i="47"/>
  <c r="AN24" i="42"/>
  <c r="BC24" i="42" s="1"/>
  <c r="AH25" i="42"/>
  <c r="AT23" i="42"/>
  <c r="AU22" i="42"/>
  <c r="K26" i="44"/>
  <c r="M25" i="44"/>
  <c r="AL25" i="44"/>
  <c r="W26" i="44"/>
  <c r="Y25" i="44"/>
  <c r="O24" i="44"/>
  <c r="Q23" i="44"/>
  <c r="AS24" i="44"/>
  <c r="AD24" i="44"/>
  <c r="AP26" i="44"/>
  <c r="AG25" i="44"/>
  <c r="U23" i="44"/>
  <c r="S24" i="44"/>
  <c r="AX26" i="44"/>
  <c r="AA24" i="42"/>
  <c r="AB23" i="42"/>
  <c r="AY23" i="42" s="1"/>
  <c r="S25" i="42"/>
  <c r="H23" i="42"/>
  <c r="B24" i="42"/>
  <c r="AE24" i="42"/>
  <c r="AF23" i="42"/>
  <c r="AD26" i="42"/>
  <c r="AW38" i="42"/>
  <c r="X24" i="42"/>
  <c r="Y23" i="42"/>
  <c r="AM25" i="42"/>
  <c r="C24" i="42"/>
  <c r="I23" i="42"/>
  <c r="AS25" i="42"/>
  <c r="AY35" i="49" l="1"/>
  <c r="BG35" i="49" s="1"/>
  <c r="BE22" i="22"/>
  <c r="BF22" i="22" s="1"/>
  <c r="AN36" i="52"/>
  <c r="AW36" i="52"/>
  <c r="BB33" i="16"/>
  <c r="I36" i="52"/>
  <c r="BC33" i="16" s="1"/>
  <c r="F37" i="52"/>
  <c r="AB37" i="52" s="1"/>
  <c r="AY33" i="47"/>
  <c r="BA33" i="49"/>
  <c r="E12" i="17"/>
  <c r="BN34" i="52"/>
  <c r="AC23" i="22"/>
  <c r="AR24" i="22"/>
  <c r="AS23" i="22"/>
  <c r="AI23" i="22"/>
  <c r="AJ22" i="22"/>
  <c r="AW22" i="22"/>
  <c r="BA23" i="22"/>
  <c r="J26" i="22"/>
  <c r="BN27" i="1"/>
  <c r="BN28" i="22"/>
  <c r="BW28" i="17"/>
  <c r="BH20" i="22"/>
  <c r="BI20" i="22"/>
  <c r="AN27" i="22"/>
  <c r="AO26" i="22"/>
  <c r="BO25" i="22"/>
  <c r="AZ25" i="22" s="1"/>
  <c r="BX25" i="17"/>
  <c r="BO24" i="1"/>
  <c r="BL21" i="22"/>
  <c r="AK21" i="22"/>
  <c r="BK21" i="22"/>
  <c r="BP23" i="1"/>
  <c r="BP24" i="22"/>
  <c r="AB24" i="22" s="1"/>
  <c r="BY24" i="17"/>
  <c r="AU24" i="22"/>
  <c r="AV23" i="22"/>
  <c r="AG22" i="22"/>
  <c r="AF23" i="22"/>
  <c r="U35" i="22"/>
  <c r="V34" i="22"/>
  <c r="D13" i="17"/>
  <c r="B14" i="17"/>
  <c r="C13" i="17"/>
  <c r="AA37" i="52"/>
  <c r="W37" i="52"/>
  <c r="Y36" i="52"/>
  <c r="AM35" i="52"/>
  <c r="AU37" i="52"/>
  <c r="AS38" i="52"/>
  <c r="S38" i="52"/>
  <c r="U37" i="52"/>
  <c r="K37" i="52"/>
  <c r="M36" i="52"/>
  <c r="O36" i="52"/>
  <c r="Q35" i="52"/>
  <c r="AH38" i="52"/>
  <c r="B37" i="52"/>
  <c r="BM37" i="52" s="1"/>
  <c r="H36" i="52"/>
  <c r="AP36" i="52"/>
  <c r="AR35" i="52"/>
  <c r="AF36" i="52"/>
  <c r="AD37" i="52"/>
  <c r="J37" i="49"/>
  <c r="BD32" i="49"/>
  <c r="N36" i="49"/>
  <c r="L37" i="49"/>
  <c r="V37" i="49"/>
  <c r="T38" i="49"/>
  <c r="AQ38" i="49"/>
  <c r="AF35" i="49"/>
  <c r="AG34" i="49"/>
  <c r="AN37" i="49"/>
  <c r="AO36" i="49"/>
  <c r="C37" i="49"/>
  <c r="AT37" i="49"/>
  <c r="AV36" i="49"/>
  <c r="AL36" i="49"/>
  <c r="AI37" i="49"/>
  <c r="AE37" i="49"/>
  <c r="AB35" i="49"/>
  <c r="AR36" i="49"/>
  <c r="AS35" i="49"/>
  <c r="X36" i="49"/>
  <c r="Z35" i="49"/>
  <c r="R36" i="49"/>
  <c r="P37" i="49"/>
  <c r="AM35" i="22"/>
  <c r="T38" i="22"/>
  <c r="P37" i="22"/>
  <c r="R36" i="22"/>
  <c r="X35" i="22"/>
  <c r="Z34" i="22"/>
  <c r="AE38" i="22"/>
  <c r="AY37" i="22"/>
  <c r="AQ36" i="22"/>
  <c r="N34" i="22"/>
  <c r="L35" i="22"/>
  <c r="AH35" i="22"/>
  <c r="AT37" i="22"/>
  <c r="AJ24" i="42"/>
  <c r="AI24" i="42"/>
  <c r="AK23" i="42"/>
  <c r="AQ27" i="42"/>
  <c r="AR26" i="42"/>
  <c r="AP37" i="42"/>
  <c r="K26" i="42"/>
  <c r="AQ35" i="47"/>
  <c r="AR34" i="47"/>
  <c r="AP37" i="47"/>
  <c r="W26" i="42"/>
  <c r="T25" i="42"/>
  <c r="U24" i="42"/>
  <c r="P25" i="42"/>
  <c r="Q24" i="42"/>
  <c r="O26" i="42"/>
  <c r="Q25" i="42"/>
  <c r="L25" i="42"/>
  <c r="M24" i="42"/>
  <c r="BA33" i="47"/>
  <c r="O38" i="47"/>
  <c r="Q37" i="47"/>
  <c r="AF35" i="47"/>
  <c r="AD36" i="47"/>
  <c r="AA35" i="47"/>
  <c r="AB34" i="47"/>
  <c r="AY34" i="47" s="1"/>
  <c r="BA34" i="47" s="1"/>
  <c r="AK35" i="47"/>
  <c r="AH36" i="47"/>
  <c r="U35" i="47"/>
  <c r="S36" i="47"/>
  <c r="K38" i="47"/>
  <c r="M37" i="47"/>
  <c r="I36" i="47"/>
  <c r="C37" i="47"/>
  <c r="AN34" i="47"/>
  <c r="BC34" i="47" s="1"/>
  <c r="AM35" i="47"/>
  <c r="AS37" i="47"/>
  <c r="AU36" i="47"/>
  <c r="H36" i="47"/>
  <c r="B37" i="47"/>
  <c r="W36" i="47"/>
  <c r="Y35" i="47"/>
  <c r="AN25" i="42"/>
  <c r="BC25" i="42" s="1"/>
  <c r="AH26" i="42"/>
  <c r="BA21" i="42"/>
  <c r="AT24" i="42"/>
  <c r="AU23" i="42"/>
  <c r="AP27" i="44"/>
  <c r="AS25" i="44"/>
  <c r="AL26" i="44"/>
  <c r="K27" i="44"/>
  <c r="M26" i="44"/>
  <c r="Q24" i="44"/>
  <c r="O25" i="44"/>
  <c r="S25" i="44"/>
  <c r="U24" i="44"/>
  <c r="AD25" i="44"/>
  <c r="AX27" i="44"/>
  <c r="AG26" i="44"/>
  <c r="W27" i="44"/>
  <c r="Y26" i="44"/>
  <c r="AB24" i="42"/>
  <c r="AY24" i="42" s="1"/>
  <c r="AA25" i="42"/>
  <c r="X25" i="42"/>
  <c r="Y24" i="42"/>
  <c r="AW39" i="42"/>
  <c r="AS26" i="42"/>
  <c r="B25" i="42"/>
  <c r="H24" i="42"/>
  <c r="C25" i="42"/>
  <c r="I24" i="42"/>
  <c r="AD27" i="42"/>
  <c r="S26" i="42"/>
  <c r="U25" i="42"/>
  <c r="AE25" i="42"/>
  <c r="AF24" i="42"/>
  <c r="AM26" i="42"/>
  <c r="AY36" i="49" l="1"/>
  <c r="BG36" i="49" s="1"/>
  <c r="BE23" i="22"/>
  <c r="BF23" i="22" s="1"/>
  <c r="AN37" i="52"/>
  <c r="AW37" i="52"/>
  <c r="F38" i="52"/>
  <c r="AB38" i="52" s="1"/>
  <c r="I37" i="52"/>
  <c r="BA34" i="49"/>
  <c r="E13" i="17"/>
  <c r="BN35" i="52"/>
  <c r="BF34" i="49"/>
  <c r="AW23" i="22"/>
  <c r="AC24" i="22"/>
  <c r="BN29" i="22"/>
  <c r="BN28" i="1"/>
  <c r="BW29" i="17"/>
  <c r="AF24" i="22"/>
  <c r="AG23" i="22"/>
  <c r="BP24" i="1"/>
  <c r="BP25" i="22"/>
  <c r="AB25" i="22" s="1"/>
  <c r="BY25" i="17"/>
  <c r="AI24" i="22"/>
  <c r="AJ23" i="22"/>
  <c r="AV24" i="22"/>
  <c r="AU25" i="22"/>
  <c r="BL22" i="22"/>
  <c r="BK22" i="22"/>
  <c r="AK22" i="22"/>
  <c r="AN28" i="22"/>
  <c r="AO27" i="22"/>
  <c r="BH21" i="22"/>
  <c r="BI21" i="22"/>
  <c r="BA24" i="22"/>
  <c r="AR25" i="22"/>
  <c r="AS24" i="22"/>
  <c r="BO26" i="22"/>
  <c r="AZ26" i="22" s="1"/>
  <c r="BO25" i="1"/>
  <c r="BX26" i="17"/>
  <c r="J27" i="22"/>
  <c r="U36" i="22"/>
  <c r="V35" i="22"/>
  <c r="D14" i="17"/>
  <c r="B15" i="17"/>
  <c r="C14" i="17"/>
  <c r="AR36" i="52"/>
  <c r="AP37" i="52"/>
  <c r="AM36" i="52"/>
  <c r="B38" i="52"/>
  <c r="BM38" i="52" s="1"/>
  <c r="H37" i="52"/>
  <c r="M37" i="52"/>
  <c r="K38" i="52"/>
  <c r="AD38" i="52"/>
  <c r="AF37" i="52"/>
  <c r="AH39" i="52"/>
  <c r="U38" i="52"/>
  <c r="S39" i="52"/>
  <c r="Y37" i="52"/>
  <c r="W38" i="52"/>
  <c r="Q36" i="52"/>
  <c r="O37" i="52"/>
  <c r="AS39" i="52"/>
  <c r="AU38" i="52"/>
  <c r="AA38" i="52"/>
  <c r="BD33" i="49"/>
  <c r="J38" i="49"/>
  <c r="AB36" i="49"/>
  <c r="T39" i="49"/>
  <c r="V38" i="49"/>
  <c r="C38" i="49"/>
  <c r="AE38" i="49"/>
  <c r="AI38" i="49"/>
  <c r="AL37" i="49"/>
  <c r="AY37" i="49" s="1"/>
  <c r="AO37" i="49"/>
  <c r="AN38" i="49"/>
  <c r="X37" i="49"/>
  <c r="Z36" i="49"/>
  <c r="AF36" i="49"/>
  <c r="AG35" i="49"/>
  <c r="N37" i="49"/>
  <c r="L38" i="49"/>
  <c r="AR37" i="49"/>
  <c r="AS36" i="49"/>
  <c r="P38" i="49"/>
  <c r="R37" i="49"/>
  <c r="AT38" i="49"/>
  <c r="AV37" i="49"/>
  <c r="AQ39" i="49"/>
  <c r="L36" i="22"/>
  <c r="N35" i="22"/>
  <c r="AY38" i="22"/>
  <c r="R37" i="22"/>
  <c r="P38" i="22"/>
  <c r="T39" i="22"/>
  <c r="AH36" i="22"/>
  <c r="AE39" i="22"/>
  <c r="AT38" i="22"/>
  <c r="AQ37" i="22"/>
  <c r="Z35" i="22"/>
  <c r="X36" i="22"/>
  <c r="AM36" i="22"/>
  <c r="BA22" i="42"/>
  <c r="AI25" i="42"/>
  <c r="AK24" i="42"/>
  <c r="AJ25" i="42"/>
  <c r="AP38" i="42"/>
  <c r="AQ28" i="42"/>
  <c r="AR27" i="42"/>
  <c r="K27" i="42"/>
  <c r="AQ36" i="47"/>
  <c r="AR35" i="47"/>
  <c r="AP38" i="47"/>
  <c r="W27" i="42"/>
  <c r="T26" i="42"/>
  <c r="P26" i="42"/>
  <c r="O27" i="42"/>
  <c r="L26" i="42"/>
  <c r="M25" i="42"/>
  <c r="U36" i="47"/>
  <c r="S37" i="47"/>
  <c r="AS38" i="47"/>
  <c r="AU37" i="47"/>
  <c r="AF36" i="47"/>
  <c r="AD37" i="47"/>
  <c r="Q38" i="47"/>
  <c r="O39" i="47"/>
  <c r="AN35" i="47"/>
  <c r="BC35" i="47" s="1"/>
  <c r="AM36" i="47"/>
  <c r="AK36" i="47"/>
  <c r="AH37" i="47"/>
  <c r="W37" i="47"/>
  <c r="Y36" i="47"/>
  <c r="I37" i="47"/>
  <c r="C38" i="47"/>
  <c r="H37" i="47"/>
  <c r="B38" i="47"/>
  <c r="AA36" i="47"/>
  <c r="AB35" i="47"/>
  <c r="AY35" i="47" s="1"/>
  <c r="K39" i="47"/>
  <c r="M38" i="47"/>
  <c r="AN26" i="42"/>
  <c r="BC26" i="42" s="1"/>
  <c r="AH27" i="42"/>
  <c r="AT25" i="42"/>
  <c r="AU24" i="42"/>
  <c r="BA23" i="42"/>
  <c r="AD26" i="44"/>
  <c r="W28" i="44"/>
  <c r="Y27" i="44"/>
  <c r="M27" i="44"/>
  <c r="K28" i="44"/>
  <c r="AL27" i="44"/>
  <c r="AG27" i="44"/>
  <c r="AS26" i="44"/>
  <c r="AX28" i="44"/>
  <c r="AP28" i="44"/>
  <c r="Q25" i="44"/>
  <c r="O26" i="44"/>
  <c r="U25" i="44"/>
  <c r="S26" i="44"/>
  <c r="B26" i="42"/>
  <c r="H25" i="42"/>
  <c r="I25" i="42"/>
  <c r="C26" i="42"/>
  <c r="S27" i="42"/>
  <c r="AM27" i="42"/>
  <c r="AW40" i="42"/>
  <c r="AD28" i="42"/>
  <c r="X26" i="42"/>
  <c r="Y25" i="42"/>
  <c r="AB25" i="42"/>
  <c r="AY25" i="42" s="1"/>
  <c r="AA26" i="42"/>
  <c r="AE26" i="42"/>
  <c r="AF25" i="42"/>
  <c r="AS27" i="42"/>
  <c r="B21" i="38"/>
  <c r="BG37" i="49" l="1"/>
  <c r="BE24" i="22"/>
  <c r="BF24" i="22" s="1"/>
  <c r="AN38" i="52"/>
  <c r="AW38" i="52"/>
  <c r="F39" i="52"/>
  <c r="AB39" i="52" s="1"/>
  <c r="I38" i="52"/>
  <c r="BA35" i="49"/>
  <c r="E14" i="17"/>
  <c r="BN36" i="52"/>
  <c r="BF35" i="49"/>
  <c r="AC25" i="22"/>
  <c r="AN29" i="22"/>
  <c r="AO28" i="22"/>
  <c r="AI25" i="22"/>
  <c r="AJ24" i="22"/>
  <c r="BA25" i="22"/>
  <c r="BN30" i="22"/>
  <c r="BN29" i="1"/>
  <c r="BW30" i="17"/>
  <c r="BH22" i="22"/>
  <c r="BI22" i="22"/>
  <c r="J28" i="22"/>
  <c r="BP25" i="1"/>
  <c r="BP26" i="22"/>
  <c r="AB26" i="22" s="1"/>
  <c r="BY26" i="17"/>
  <c r="AR26" i="22"/>
  <c r="AS25" i="22"/>
  <c r="AV25" i="22"/>
  <c r="AW25" i="22" s="1"/>
  <c r="AU26" i="22"/>
  <c r="BK23" i="22"/>
  <c r="AK23" i="22"/>
  <c r="BL23" i="22"/>
  <c r="BO27" i="22"/>
  <c r="AZ27" i="22" s="1"/>
  <c r="BX27" i="17"/>
  <c r="BO26" i="1"/>
  <c r="AW24" i="22"/>
  <c r="AF25" i="22"/>
  <c r="AG24" i="22"/>
  <c r="U37" i="22"/>
  <c r="V36" i="22"/>
  <c r="D15" i="17"/>
  <c r="C15" i="17"/>
  <c r="B16" i="17"/>
  <c r="AF38" i="52"/>
  <c r="AD39" i="52"/>
  <c r="B39" i="52"/>
  <c r="BM39" i="52" s="1"/>
  <c r="H38" i="52"/>
  <c r="Y38" i="52"/>
  <c r="W39" i="52"/>
  <c r="K39" i="52"/>
  <c r="M38" i="52"/>
  <c r="AA39" i="52"/>
  <c r="S40" i="52"/>
  <c r="U39" i="52"/>
  <c r="AM37" i="52"/>
  <c r="AU39" i="52"/>
  <c r="AS40" i="52"/>
  <c r="AH40" i="52"/>
  <c r="AR37" i="52"/>
  <c r="AP38" i="52"/>
  <c r="O38" i="52"/>
  <c r="Q37" i="52"/>
  <c r="J39" i="49"/>
  <c r="BD34" i="49"/>
  <c r="Z37" i="49"/>
  <c r="X38" i="49"/>
  <c r="AE39" i="49"/>
  <c r="C39" i="49"/>
  <c r="AQ40" i="49"/>
  <c r="AR38" i="49"/>
  <c r="AS37" i="49"/>
  <c r="L39" i="49"/>
  <c r="N38" i="49"/>
  <c r="AN39" i="49"/>
  <c r="AO38" i="49"/>
  <c r="AV38" i="49"/>
  <c r="AT39" i="49"/>
  <c r="T40" i="49"/>
  <c r="V39" i="49"/>
  <c r="P39" i="49"/>
  <c r="R38" i="49"/>
  <c r="AF37" i="49"/>
  <c r="AG36" i="49"/>
  <c r="AI39" i="49"/>
  <c r="AL38" i="49"/>
  <c r="AY38" i="49" s="1"/>
  <c r="AB37" i="49"/>
  <c r="AM37" i="22"/>
  <c r="R38" i="22"/>
  <c r="P39" i="22"/>
  <c r="T40" i="22"/>
  <c r="AY39" i="22"/>
  <c r="AE40" i="22"/>
  <c r="X37" i="22"/>
  <c r="Z36" i="22"/>
  <c r="AH37" i="22"/>
  <c r="AT39" i="22"/>
  <c r="AQ38" i="22"/>
  <c r="N36" i="22"/>
  <c r="L37" i="22"/>
  <c r="AP39" i="42"/>
  <c r="AQ29" i="42"/>
  <c r="AR28" i="42"/>
  <c r="K28" i="42"/>
  <c r="AJ26" i="42"/>
  <c r="AI26" i="42"/>
  <c r="AK25" i="42"/>
  <c r="AP39" i="47"/>
  <c r="AQ37" i="47"/>
  <c r="AR36" i="47"/>
  <c r="W28" i="42"/>
  <c r="T27" i="42"/>
  <c r="U26" i="42"/>
  <c r="P27" i="42"/>
  <c r="Q26" i="42"/>
  <c r="O28" i="42"/>
  <c r="L27" i="42"/>
  <c r="M26" i="42"/>
  <c r="BA35" i="47"/>
  <c r="AK37" i="47"/>
  <c r="AH38" i="47"/>
  <c r="H38" i="47"/>
  <c r="B39" i="47"/>
  <c r="I38" i="47"/>
  <c r="C39" i="47"/>
  <c r="O40" i="47"/>
  <c r="Q39" i="47"/>
  <c r="AA37" i="47"/>
  <c r="AB36" i="47"/>
  <c r="AY36" i="47" s="1"/>
  <c r="AN36" i="47"/>
  <c r="BC36" i="47" s="1"/>
  <c r="AM37" i="47"/>
  <c r="AS39" i="47"/>
  <c r="AU38" i="47"/>
  <c r="K40" i="47"/>
  <c r="M39" i="47"/>
  <c r="AF37" i="47"/>
  <c r="AD38" i="47"/>
  <c r="U37" i="47"/>
  <c r="S38" i="47"/>
  <c r="W38" i="47"/>
  <c r="Y37" i="47"/>
  <c r="AN27" i="42"/>
  <c r="BC27" i="42" s="1"/>
  <c r="AH28" i="42"/>
  <c r="AT26" i="42"/>
  <c r="AU25" i="42"/>
  <c r="AG28" i="44"/>
  <c r="AL28" i="44"/>
  <c r="AX29" i="44"/>
  <c r="Y28" i="44"/>
  <c r="W29" i="44"/>
  <c r="M28" i="44"/>
  <c r="K29" i="44"/>
  <c r="AP29" i="44"/>
  <c r="S27" i="44"/>
  <c r="U26" i="44"/>
  <c r="Q26" i="44"/>
  <c r="O27" i="44"/>
  <c r="AS27" i="44"/>
  <c r="AD27" i="44"/>
  <c r="AS28" i="42"/>
  <c r="AM28" i="42"/>
  <c r="AE27" i="42"/>
  <c r="AF26" i="42"/>
  <c r="B27" i="42"/>
  <c r="H26" i="42"/>
  <c r="U27" i="42"/>
  <c r="S28" i="42"/>
  <c r="X27" i="42"/>
  <c r="Y26" i="42"/>
  <c r="C27" i="42"/>
  <c r="I26" i="42"/>
  <c r="AD29" i="42"/>
  <c r="AA27" i="42"/>
  <c r="AB26" i="42"/>
  <c r="AY26" i="42" s="1"/>
  <c r="B22" i="38"/>
  <c r="BG38" i="49" l="1"/>
  <c r="BE25" i="22"/>
  <c r="BF25" i="22" s="1"/>
  <c r="AN39" i="52"/>
  <c r="AW39" i="52"/>
  <c r="F40" i="52"/>
  <c r="AB40" i="52" s="1"/>
  <c r="I39" i="52"/>
  <c r="BA36" i="49"/>
  <c r="AZ28" i="22"/>
  <c r="E15" i="17"/>
  <c r="BN37" i="52"/>
  <c r="BF36" i="49"/>
  <c r="AC26" i="22"/>
  <c r="AR27" i="22"/>
  <c r="AS26" i="22"/>
  <c r="BK24" i="22"/>
  <c r="BL24" i="22"/>
  <c r="AK24" i="22"/>
  <c r="BN31" i="22"/>
  <c r="BN30" i="1"/>
  <c r="BW31" i="17"/>
  <c r="AF26" i="22"/>
  <c r="AG25" i="22"/>
  <c r="BH23" i="22"/>
  <c r="BI23" i="22"/>
  <c r="BP26" i="1"/>
  <c r="BP27" i="22"/>
  <c r="AB27" i="22" s="1"/>
  <c r="BY27" i="17"/>
  <c r="AI26" i="22"/>
  <c r="AJ25" i="22"/>
  <c r="BO28" i="22"/>
  <c r="BO27" i="1"/>
  <c r="BX28" i="17"/>
  <c r="AU27" i="22"/>
  <c r="AV26" i="22"/>
  <c r="J29" i="22"/>
  <c r="BA26" i="22"/>
  <c r="AN30" i="22"/>
  <c r="AO29" i="22"/>
  <c r="U38" i="22"/>
  <c r="V37" i="22"/>
  <c r="D16" i="17"/>
  <c r="C16" i="17"/>
  <c r="B17" i="17"/>
  <c r="AU40" i="52"/>
  <c r="AS41" i="52"/>
  <c r="AU41" i="52" s="1"/>
  <c r="K40" i="52"/>
  <c r="M39" i="52"/>
  <c r="Y39" i="52"/>
  <c r="W40" i="52"/>
  <c r="S41" i="52"/>
  <c r="U41" i="52" s="1"/>
  <c r="U40" i="52"/>
  <c r="O39" i="52"/>
  <c r="Q38" i="52"/>
  <c r="AA40" i="52"/>
  <c r="AP39" i="52"/>
  <c r="AR38" i="52"/>
  <c r="B40" i="52"/>
  <c r="BM40" i="52" s="1"/>
  <c r="H39" i="52"/>
  <c r="AM38" i="52"/>
  <c r="AF39" i="52"/>
  <c r="AD40" i="52"/>
  <c r="AH41" i="52"/>
  <c r="J41" i="49"/>
  <c r="J40" i="49"/>
  <c r="BD35" i="49"/>
  <c r="R39" i="49"/>
  <c r="P40" i="49"/>
  <c r="AN40" i="49"/>
  <c r="AO39" i="49"/>
  <c r="AQ41" i="49"/>
  <c r="AB38" i="49"/>
  <c r="T41" i="49"/>
  <c r="V41" i="49" s="1"/>
  <c r="V40" i="49"/>
  <c r="N39" i="49"/>
  <c r="L40" i="49"/>
  <c r="C40" i="49"/>
  <c r="AI40" i="49"/>
  <c r="AL39" i="49"/>
  <c r="AE40" i="49"/>
  <c r="AV39" i="49"/>
  <c r="AT40" i="49"/>
  <c r="AF38" i="49"/>
  <c r="AG37" i="49"/>
  <c r="X39" i="49"/>
  <c r="Z38" i="49"/>
  <c r="AR39" i="49"/>
  <c r="AS38" i="49"/>
  <c r="AY40" i="22"/>
  <c r="L38" i="22"/>
  <c r="N37" i="22"/>
  <c r="T41" i="22"/>
  <c r="AQ39" i="22"/>
  <c r="X38" i="22"/>
  <c r="Z37" i="22"/>
  <c r="AT40" i="22"/>
  <c r="AH38" i="22"/>
  <c r="R39" i="22"/>
  <c r="P40" i="22"/>
  <c r="AE41" i="22"/>
  <c r="AM38" i="22"/>
  <c r="AY37" i="47"/>
  <c r="AQ30" i="42"/>
  <c r="AR29" i="42"/>
  <c r="AP40" i="42"/>
  <c r="AI27" i="42"/>
  <c r="AK26" i="42"/>
  <c r="AJ27" i="42"/>
  <c r="K29" i="42"/>
  <c r="AQ38" i="47"/>
  <c r="AR37" i="47"/>
  <c r="AP40" i="47"/>
  <c r="W29" i="42"/>
  <c r="T28" i="42"/>
  <c r="P28" i="42"/>
  <c r="Q27" i="42"/>
  <c r="O29" i="42"/>
  <c r="L28" i="42"/>
  <c r="M27" i="42"/>
  <c r="BA36" i="47"/>
  <c r="AF38" i="47"/>
  <c r="AD39" i="47"/>
  <c r="AA38" i="47"/>
  <c r="AB37" i="47"/>
  <c r="H39" i="47"/>
  <c r="B40" i="47"/>
  <c r="U38" i="47"/>
  <c r="S39" i="47"/>
  <c r="Q40" i="47"/>
  <c r="O41" i="47"/>
  <c r="Q41" i="47" s="1"/>
  <c r="K41" i="47"/>
  <c r="M41" i="47" s="1"/>
  <c r="M40" i="47"/>
  <c r="AK38" i="47"/>
  <c r="AH39" i="47"/>
  <c r="AN37" i="47"/>
  <c r="BC37" i="47" s="1"/>
  <c r="AM38" i="47"/>
  <c r="I39" i="47"/>
  <c r="C40" i="47"/>
  <c r="W39" i="47"/>
  <c r="Y38" i="47"/>
  <c r="AS40" i="47"/>
  <c r="AU39" i="47"/>
  <c r="AN28" i="42"/>
  <c r="BC28" i="42" s="1"/>
  <c r="BA24" i="42"/>
  <c r="AH29" i="42"/>
  <c r="AT27" i="42"/>
  <c r="AU26" i="42"/>
  <c r="AL29" i="44"/>
  <c r="AX30" i="44"/>
  <c r="AD28" i="44"/>
  <c r="AP30" i="44"/>
  <c r="AS28" i="44"/>
  <c r="M29" i="44"/>
  <c r="K30" i="44"/>
  <c r="S28" i="44"/>
  <c r="U27" i="44"/>
  <c r="AG29" i="44"/>
  <c r="Q27" i="44"/>
  <c r="O28" i="44"/>
  <c r="Y29" i="44"/>
  <c r="W30" i="44"/>
  <c r="AD30" i="42"/>
  <c r="H27" i="42"/>
  <c r="B28" i="42"/>
  <c r="AB27" i="42"/>
  <c r="AY27" i="42" s="1"/>
  <c r="AA28" i="42"/>
  <c r="AM29" i="42"/>
  <c r="X28" i="42"/>
  <c r="Y27" i="42"/>
  <c r="S29" i="42"/>
  <c r="U28" i="42"/>
  <c r="C28" i="42"/>
  <c r="I27" i="42"/>
  <c r="AE28" i="42"/>
  <c r="AF27" i="42"/>
  <c r="AS29" i="42"/>
  <c r="B23" i="38"/>
  <c r="AY39" i="49" l="1"/>
  <c r="BG39" i="49" s="1"/>
  <c r="BE26" i="22"/>
  <c r="BF26" i="22" s="1"/>
  <c r="AN40" i="52"/>
  <c r="AW40" i="52"/>
  <c r="F41" i="52"/>
  <c r="AB41" i="52" s="1"/>
  <c r="I40" i="52"/>
  <c r="BA37" i="49"/>
  <c r="E16" i="17"/>
  <c r="BN38" i="52"/>
  <c r="BF37" i="49"/>
  <c r="AC27" i="22"/>
  <c r="AF27" i="22"/>
  <c r="AG26" i="22"/>
  <c r="J30" i="22"/>
  <c r="AU28" i="22"/>
  <c r="AV27" i="22"/>
  <c r="AW26" i="22"/>
  <c r="BL25" i="22"/>
  <c r="BK25" i="22"/>
  <c r="AK25" i="22"/>
  <c r="AR28" i="22"/>
  <c r="AS27" i="22"/>
  <c r="AN31" i="22"/>
  <c r="AO30" i="22"/>
  <c r="BN32" i="22"/>
  <c r="BN31" i="1"/>
  <c r="BW32" i="17"/>
  <c r="BO29" i="22"/>
  <c r="AZ29" i="22" s="1"/>
  <c r="BO28" i="1"/>
  <c r="BX29" i="17"/>
  <c r="BP27" i="1"/>
  <c r="BP28" i="22"/>
  <c r="AB28" i="22" s="1"/>
  <c r="BY28" i="17"/>
  <c r="BA27" i="22"/>
  <c r="AI27" i="22"/>
  <c r="AJ26" i="22"/>
  <c r="BH24" i="22"/>
  <c r="BI24" i="22"/>
  <c r="U39" i="22"/>
  <c r="V38" i="22"/>
  <c r="D17" i="17"/>
  <c r="B18" i="17"/>
  <c r="C17" i="17"/>
  <c r="AD41" i="52"/>
  <c r="AF41" i="52" s="1"/>
  <c r="AF40" i="52"/>
  <c r="AP40" i="52"/>
  <c r="AR39" i="52"/>
  <c r="W41" i="52"/>
  <c r="Y41" i="52" s="1"/>
  <c r="Y40" i="52"/>
  <c r="AA41" i="52"/>
  <c r="M40" i="52"/>
  <c r="K41" i="52"/>
  <c r="M41" i="52" s="1"/>
  <c r="AM39" i="52"/>
  <c r="O40" i="52"/>
  <c r="Q39" i="52"/>
  <c r="H40" i="52"/>
  <c r="B41" i="52"/>
  <c r="BD36" i="49"/>
  <c r="AT41" i="49"/>
  <c r="AV41" i="49" s="1"/>
  <c r="AV40" i="49"/>
  <c r="L41" i="49"/>
  <c r="N41" i="49" s="1"/>
  <c r="N40" i="49"/>
  <c r="AB39" i="49"/>
  <c r="AR40" i="49"/>
  <c r="AS39" i="49"/>
  <c r="AE41" i="49"/>
  <c r="X40" i="49"/>
  <c r="Z39" i="49"/>
  <c r="AI41" i="49"/>
  <c r="AL41" i="49" s="1"/>
  <c r="AL40" i="49"/>
  <c r="AO40" i="49"/>
  <c r="AN41" i="49"/>
  <c r="AO41" i="49" s="1"/>
  <c r="P41" i="49"/>
  <c r="R41" i="49" s="1"/>
  <c r="R40" i="49"/>
  <c r="AF39" i="49"/>
  <c r="AG38" i="49"/>
  <c r="C41" i="49"/>
  <c r="P41" i="22"/>
  <c r="R41" i="22" s="1"/>
  <c r="R40" i="22"/>
  <c r="AT41" i="22"/>
  <c r="AM39" i="22"/>
  <c r="AH39" i="22"/>
  <c r="X39" i="22"/>
  <c r="Z38" i="22"/>
  <c r="L39" i="22"/>
  <c r="N38" i="22"/>
  <c r="AQ40" i="22"/>
  <c r="AY41" i="22"/>
  <c r="AJ28" i="42"/>
  <c r="AI28" i="42"/>
  <c r="AK27" i="42"/>
  <c r="AP41" i="42"/>
  <c r="AQ31" i="42"/>
  <c r="AR30" i="42"/>
  <c r="K30" i="42"/>
  <c r="AP41" i="47"/>
  <c r="BA37" i="47"/>
  <c r="AQ39" i="47"/>
  <c r="AR38" i="47"/>
  <c r="W30" i="42"/>
  <c r="T29" i="42"/>
  <c r="P29" i="42"/>
  <c r="Q28" i="42"/>
  <c r="O30" i="42"/>
  <c r="Q29" i="42"/>
  <c r="L29" i="42"/>
  <c r="M28" i="42"/>
  <c r="W40" i="47"/>
  <c r="Y39" i="47"/>
  <c r="I40" i="47"/>
  <c r="C41" i="47"/>
  <c r="I41" i="47" s="1"/>
  <c r="AN38" i="47"/>
  <c r="BC38" i="47" s="1"/>
  <c r="AM39" i="47"/>
  <c r="AA39" i="47"/>
  <c r="AB38" i="47"/>
  <c r="AY38" i="47" s="1"/>
  <c r="AS41" i="47"/>
  <c r="AU41" i="47" s="1"/>
  <c r="AU40" i="47"/>
  <c r="AF39" i="47"/>
  <c r="AD40" i="47"/>
  <c r="U39" i="47"/>
  <c r="S40" i="47"/>
  <c r="AK39" i="47"/>
  <c r="AH40" i="47"/>
  <c r="H40" i="47"/>
  <c r="B41" i="47"/>
  <c r="H41" i="47" s="1"/>
  <c r="AN29" i="42"/>
  <c r="BC29" i="42" s="1"/>
  <c r="BA25" i="42"/>
  <c r="AH30" i="42"/>
  <c r="AT28" i="42"/>
  <c r="AU27" i="42"/>
  <c r="BA26" i="42"/>
  <c r="AX31" i="44"/>
  <c r="AG30" i="44"/>
  <c r="S29" i="44"/>
  <c r="U28" i="44"/>
  <c r="Y30" i="44"/>
  <c r="W31" i="44"/>
  <c r="M30" i="44"/>
  <c r="K31" i="44"/>
  <c r="AL30" i="44"/>
  <c r="AS29" i="44"/>
  <c r="Q28" i="44"/>
  <c r="O29" i="44"/>
  <c r="AD29" i="44"/>
  <c r="AP31" i="44"/>
  <c r="AA29" i="42"/>
  <c r="AB28" i="42"/>
  <c r="AY28" i="42" s="1"/>
  <c r="X29" i="42"/>
  <c r="Y28" i="42"/>
  <c r="AS30" i="42"/>
  <c r="AD31" i="42"/>
  <c r="U29" i="42"/>
  <c r="S30" i="42"/>
  <c r="AM30" i="42"/>
  <c r="AE29" i="42"/>
  <c r="AF28" i="42"/>
  <c r="B29" i="42"/>
  <c r="H28" i="42"/>
  <c r="I28" i="42"/>
  <c r="C29" i="42"/>
  <c r="B24" i="38"/>
  <c r="AY40" i="49" l="1"/>
  <c r="BG40" i="49" s="1"/>
  <c r="AY41" i="49"/>
  <c r="BG41" i="49" s="1"/>
  <c r="BE27" i="22"/>
  <c r="BF27" i="22" s="1"/>
  <c r="I41" i="52"/>
  <c r="AN41" i="52"/>
  <c r="AW41" i="52"/>
  <c r="BA38" i="49"/>
  <c r="AZ30" i="22"/>
  <c r="E17" i="17"/>
  <c r="BN39" i="52"/>
  <c r="H41" i="52"/>
  <c r="BM41" i="52"/>
  <c r="BF38" i="49"/>
  <c r="AC28" i="22"/>
  <c r="BO30" i="22"/>
  <c r="BO29" i="1"/>
  <c r="BX30" i="17"/>
  <c r="AV28" i="22"/>
  <c r="AU29" i="22"/>
  <c r="BA28" i="22"/>
  <c r="AR29" i="22"/>
  <c r="AS28" i="22"/>
  <c r="J31" i="22"/>
  <c r="BN33" i="22"/>
  <c r="BN32" i="1"/>
  <c r="BW33" i="17"/>
  <c r="AF28" i="22"/>
  <c r="AG27" i="22"/>
  <c r="BH25" i="22"/>
  <c r="BI25" i="22"/>
  <c r="BP28" i="1"/>
  <c r="BP29" i="22"/>
  <c r="AB29" i="22" s="1"/>
  <c r="BY29" i="17"/>
  <c r="BK26" i="22"/>
  <c r="AK26" i="22"/>
  <c r="BL26" i="22"/>
  <c r="AI28" i="22"/>
  <c r="AJ27" i="22"/>
  <c r="AN32" i="22"/>
  <c r="AO31" i="22"/>
  <c r="AW27" i="22"/>
  <c r="U40" i="22"/>
  <c r="V39" i="22"/>
  <c r="D18" i="17"/>
  <c r="B19" i="17"/>
  <c r="C18" i="17"/>
  <c r="AM40" i="52"/>
  <c r="AR40" i="52"/>
  <c r="AP41" i="52"/>
  <c r="AR41" i="52" s="1"/>
  <c r="Q40" i="52"/>
  <c r="O41" i="52"/>
  <c r="Q41" i="52" s="1"/>
  <c r="BD37" i="49"/>
  <c r="AB40" i="49"/>
  <c r="AR41" i="49"/>
  <c r="AS41" i="49" s="1"/>
  <c r="AS40" i="49"/>
  <c r="AF40" i="49"/>
  <c r="AG39" i="49"/>
  <c r="X41" i="49"/>
  <c r="Z41" i="49" s="1"/>
  <c r="Z40" i="49"/>
  <c r="L40" i="22"/>
  <c r="N39" i="22"/>
  <c r="X40" i="22"/>
  <c r="Z39" i="22"/>
  <c r="AM40" i="22"/>
  <c r="AH40" i="22"/>
  <c r="AQ41" i="22"/>
  <c r="AJ29" i="42"/>
  <c r="AI29" i="42"/>
  <c r="AK28" i="42"/>
  <c r="AQ32" i="42"/>
  <c r="AR31" i="42"/>
  <c r="K31" i="42"/>
  <c r="AQ40" i="47"/>
  <c r="AR39" i="47"/>
  <c r="W31" i="42"/>
  <c r="T30" i="42"/>
  <c r="P30" i="42"/>
  <c r="O31" i="42"/>
  <c r="L30" i="42"/>
  <c r="M29" i="42"/>
  <c r="BA38" i="47"/>
  <c r="AK40" i="47"/>
  <c r="AH41" i="47"/>
  <c r="AK41" i="47" s="1"/>
  <c r="W41" i="47"/>
  <c r="Y41" i="47" s="1"/>
  <c r="Y40" i="47"/>
  <c r="AA40" i="47"/>
  <c r="AB39" i="47"/>
  <c r="U40" i="47"/>
  <c r="S41" i="47"/>
  <c r="U41" i="47" s="1"/>
  <c r="AF40" i="47"/>
  <c r="AD41" i="47"/>
  <c r="AF41" i="47" s="1"/>
  <c r="AN39" i="47"/>
  <c r="BC39" i="47" s="1"/>
  <c r="AM40" i="47"/>
  <c r="AN30" i="42"/>
  <c r="BC30" i="42" s="1"/>
  <c r="AH31" i="42"/>
  <c r="AT29" i="42"/>
  <c r="AU28" i="42"/>
  <c r="AD30" i="44"/>
  <c r="M31" i="44"/>
  <c r="K32" i="44"/>
  <c r="AG31" i="44"/>
  <c r="Q29" i="44"/>
  <c r="O30" i="44"/>
  <c r="U29" i="44"/>
  <c r="S30" i="44"/>
  <c r="AL31" i="44"/>
  <c r="AP32" i="44"/>
  <c r="Y31" i="44"/>
  <c r="W32" i="44"/>
  <c r="AX32" i="44"/>
  <c r="AS30" i="44"/>
  <c r="H29" i="42"/>
  <c r="B30" i="42"/>
  <c r="AE30" i="42"/>
  <c r="AF29" i="42"/>
  <c r="AM31" i="42"/>
  <c r="C30" i="42"/>
  <c r="I29" i="42"/>
  <c r="X30" i="42"/>
  <c r="Y29" i="42"/>
  <c r="AD32" i="42"/>
  <c r="AS31" i="42"/>
  <c r="U30" i="42"/>
  <c r="S31" i="42"/>
  <c r="AB29" i="42"/>
  <c r="AY29" i="42" s="1"/>
  <c r="AA30" i="42"/>
  <c r="B25" i="38"/>
  <c r="BE28" i="22" l="1"/>
  <c r="BF28" i="22" s="1"/>
  <c r="AY39" i="47"/>
  <c r="BA39" i="47" s="1"/>
  <c r="BA39" i="49"/>
  <c r="AZ31" i="22"/>
  <c r="E18" i="17"/>
  <c r="BN40" i="52"/>
  <c r="BF39" i="49"/>
  <c r="AW28" i="22"/>
  <c r="AC29" i="22"/>
  <c r="BK27" i="22"/>
  <c r="AK27" i="22"/>
  <c r="BL27" i="22"/>
  <c r="BA29" i="22"/>
  <c r="AF29" i="22"/>
  <c r="AG28" i="22"/>
  <c r="AU30" i="22"/>
  <c r="AV29" i="22"/>
  <c r="AN33" i="22"/>
  <c r="AO32" i="22"/>
  <c r="BN34" i="22"/>
  <c r="BN33" i="1"/>
  <c r="BW34" i="17"/>
  <c r="J32" i="22"/>
  <c r="AI29" i="22"/>
  <c r="AJ28" i="22"/>
  <c r="BP30" i="22"/>
  <c r="AB30" i="22" s="1"/>
  <c r="BP29" i="1"/>
  <c r="BY30" i="17"/>
  <c r="BO31" i="22"/>
  <c r="BO30" i="1"/>
  <c r="BX31" i="17"/>
  <c r="BH26" i="22"/>
  <c r="BI26" i="22"/>
  <c r="AR30" i="22"/>
  <c r="AS29" i="22"/>
  <c r="U41" i="22"/>
  <c r="V41" i="22" s="1"/>
  <c r="V40" i="22"/>
  <c r="D19" i="17"/>
  <c r="C19" i="17"/>
  <c r="B20" i="17"/>
  <c r="AM41" i="52"/>
  <c r="BD38" i="49"/>
  <c r="AF41" i="49"/>
  <c r="AG41" i="49" s="1"/>
  <c r="AG40" i="49"/>
  <c r="AB41" i="49"/>
  <c r="AH41" i="22"/>
  <c r="Z40" i="22"/>
  <c r="X41" i="22"/>
  <c r="Z41" i="22" s="1"/>
  <c r="AM41" i="22"/>
  <c r="N40" i="22"/>
  <c r="L41" i="22"/>
  <c r="N41" i="22" s="1"/>
  <c r="AY41" i="47"/>
  <c r="AY40" i="47"/>
  <c r="AI30" i="42"/>
  <c r="AK29" i="42"/>
  <c r="AQ33" i="42"/>
  <c r="AR32" i="42"/>
  <c r="AJ30" i="42"/>
  <c r="K32" i="42"/>
  <c r="AQ41" i="47"/>
  <c r="AR41" i="47" s="1"/>
  <c r="AR40" i="47"/>
  <c r="W32" i="42"/>
  <c r="T31" i="42"/>
  <c r="P31" i="42"/>
  <c r="Q30" i="42"/>
  <c r="O32" i="42"/>
  <c r="L31" i="42"/>
  <c r="M30" i="42"/>
  <c r="AA41" i="47"/>
  <c r="AB41" i="47" s="1"/>
  <c r="AB40" i="47"/>
  <c r="AN40" i="47"/>
  <c r="BC40" i="47" s="1"/>
  <c r="AM41" i="47"/>
  <c r="AN41" i="47" s="1"/>
  <c r="BC41" i="47" s="1"/>
  <c r="AN31" i="42"/>
  <c r="BC31" i="42" s="1"/>
  <c r="BA27" i="42"/>
  <c r="AH32" i="42"/>
  <c r="AT30" i="42"/>
  <c r="AU29" i="42"/>
  <c r="BA28" i="42"/>
  <c r="M32" i="44"/>
  <c r="K33" i="44"/>
  <c r="W33" i="44"/>
  <c r="Y32" i="44"/>
  <c r="AS31" i="44"/>
  <c r="U30" i="44"/>
  <c r="S31" i="44"/>
  <c r="AP33" i="44"/>
  <c r="O31" i="44"/>
  <c r="Q30" i="44"/>
  <c r="AD31" i="44"/>
  <c r="AX33" i="44"/>
  <c r="AL32" i="44"/>
  <c r="AG32" i="44"/>
  <c r="I30" i="42"/>
  <c r="C31" i="42"/>
  <c r="AS32" i="42"/>
  <c r="AD33" i="42"/>
  <c r="AA31" i="42"/>
  <c r="AB30" i="42"/>
  <c r="AY30" i="42" s="1"/>
  <c r="U31" i="42"/>
  <c r="S32" i="42"/>
  <c r="AE31" i="42"/>
  <c r="AF30" i="42"/>
  <c r="B31" i="42"/>
  <c r="H30" i="42"/>
  <c r="AM32" i="42"/>
  <c r="X31" i="42"/>
  <c r="Y30" i="42"/>
  <c r="B26" i="38"/>
  <c r="BE29" i="22" l="1"/>
  <c r="BF29" i="22" s="1"/>
  <c r="BA40" i="49"/>
  <c r="BA41" i="49"/>
  <c r="E19" i="17"/>
  <c r="BN41" i="52"/>
  <c r="BF41" i="49"/>
  <c r="BF40" i="49"/>
  <c r="AC30" i="22"/>
  <c r="BO32" i="22"/>
  <c r="AZ32" i="22" s="1"/>
  <c r="BO31" i="1"/>
  <c r="BX32" i="17"/>
  <c r="AN34" i="22"/>
  <c r="AO33" i="22"/>
  <c r="BA30" i="22"/>
  <c r="AW29" i="22"/>
  <c r="AR31" i="22"/>
  <c r="AS30" i="22"/>
  <c r="BP31" i="22"/>
  <c r="AB31" i="22" s="1"/>
  <c r="BP30" i="1"/>
  <c r="BY31" i="17"/>
  <c r="J33" i="22"/>
  <c r="BH27" i="22"/>
  <c r="BI27" i="22"/>
  <c r="BN35" i="22"/>
  <c r="BN34" i="1"/>
  <c r="BW35" i="17"/>
  <c r="AK28" i="22"/>
  <c r="BK28" i="22"/>
  <c r="BL28" i="22"/>
  <c r="AV30" i="22"/>
  <c r="AU31" i="22"/>
  <c r="AI30" i="22"/>
  <c r="AJ29" i="22"/>
  <c r="AG29" i="22"/>
  <c r="AF30" i="22"/>
  <c r="D20" i="17"/>
  <c r="B21" i="17"/>
  <c r="C20" i="17"/>
  <c r="BD39" i="49"/>
  <c r="K33" i="42"/>
  <c r="AI31" i="42"/>
  <c r="AK30" i="42"/>
  <c r="AJ31" i="42"/>
  <c r="AQ34" i="42"/>
  <c r="AR33" i="42"/>
  <c r="W33" i="42"/>
  <c r="T32" i="42"/>
  <c r="P32" i="42"/>
  <c r="Q32" i="42" s="1"/>
  <c r="Q31" i="42"/>
  <c r="O33" i="42"/>
  <c r="L32" i="42"/>
  <c r="M31" i="42"/>
  <c r="BA40" i="47"/>
  <c r="BA41" i="47"/>
  <c r="AN32" i="42"/>
  <c r="BC32" i="42" s="1"/>
  <c r="AH33" i="42"/>
  <c r="AT31" i="42"/>
  <c r="AU30" i="42"/>
  <c r="BA29" i="42"/>
  <c r="O32" i="44"/>
  <c r="Q31" i="44"/>
  <c r="AS32" i="44"/>
  <c r="AL33" i="44"/>
  <c r="W34" i="44"/>
  <c r="Y33" i="44"/>
  <c r="U31" i="44"/>
  <c r="S32" i="44"/>
  <c r="AG33" i="44"/>
  <c r="AX34" i="44"/>
  <c r="K34" i="44"/>
  <c r="M33" i="44"/>
  <c r="AD32" i="44"/>
  <c r="AP34" i="44"/>
  <c r="S33" i="42"/>
  <c r="U32" i="42"/>
  <c r="AE32" i="42"/>
  <c r="AF31" i="42"/>
  <c r="H31" i="42"/>
  <c r="B32" i="42"/>
  <c r="AM33" i="42"/>
  <c r="I31" i="42"/>
  <c r="C32" i="42"/>
  <c r="X32" i="42"/>
  <c r="Y31" i="42"/>
  <c r="AA32" i="42"/>
  <c r="AB31" i="42"/>
  <c r="AY31" i="42" s="1"/>
  <c r="AS33" i="42"/>
  <c r="AD34" i="42"/>
  <c r="B27" i="38"/>
  <c r="BE30" i="22" l="1"/>
  <c r="BF30" i="22" s="1"/>
  <c r="AZ33" i="22"/>
  <c r="E20" i="17"/>
  <c r="AW30" i="22"/>
  <c r="AI31" i="22"/>
  <c r="AJ30" i="22"/>
  <c r="BO33" i="22"/>
  <c r="BX33" i="17"/>
  <c r="BO32" i="1"/>
  <c r="AV31" i="22"/>
  <c r="AU32" i="22"/>
  <c r="BN36" i="22"/>
  <c r="BN35" i="1"/>
  <c r="BW36" i="17"/>
  <c r="AR32" i="22"/>
  <c r="AS31" i="22"/>
  <c r="J34" i="22"/>
  <c r="BA31" i="22"/>
  <c r="AC31" i="22"/>
  <c r="AG30" i="22"/>
  <c r="AF31" i="22"/>
  <c r="AK29" i="22"/>
  <c r="BK29" i="22"/>
  <c r="BL29" i="22"/>
  <c r="BP32" i="22"/>
  <c r="AB32" i="22" s="1"/>
  <c r="BP31" i="1"/>
  <c r="BY32" i="17"/>
  <c r="AN35" i="22"/>
  <c r="AO34" i="22"/>
  <c r="BH28" i="22"/>
  <c r="BI28" i="22"/>
  <c r="D21" i="17"/>
  <c r="C21" i="17"/>
  <c r="B22" i="17"/>
  <c r="BD40" i="49"/>
  <c r="BD41" i="49"/>
  <c r="AQ35" i="42"/>
  <c r="AR34" i="42"/>
  <c r="AI32" i="42"/>
  <c r="AK31" i="42"/>
  <c r="K34" i="42"/>
  <c r="AJ32" i="42"/>
  <c r="W34" i="42"/>
  <c r="T33" i="42"/>
  <c r="U33" i="42" s="1"/>
  <c r="P33" i="42"/>
  <c r="O34" i="42"/>
  <c r="L33" i="42"/>
  <c r="M32" i="42"/>
  <c r="AN33" i="42"/>
  <c r="BC33" i="42" s="1"/>
  <c r="AH34" i="42"/>
  <c r="AT32" i="42"/>
  <c r="AU31" i="42"/>
  <c r="BA30" i="42"/>
  <c r="AG34" i="44"/>
  <c r="AD33" i="44"/>
  <c r="U32" i="44"/>
  <c r="S33" i="44"/>
  <c r="W35" i="44"/>
  <c r="Y34" i="44"/>
  <c r="AX35" i="44"/>
  <c r="Q32" i="44"/>
  <c r="O33" i="44"/>
  <c r="AP35" i="44"/>
  <c r="AS33" i="44"/>
  <c r="K35" i="44"/>
  <c r="M34" i="44"/>
  <c r="AL34" i="44"/>
  <c r="AS34" i="42"/>
  <c r="AE33" i="42"/>
  <c r="AF32" i="42"/>
  <c r="AA33" i="42"/>
  <c r="AB32" i="42"/>
  <c r="AY32" i="42" s="1"/>
  <c r="AM34" i="42"/>
  <c r="I32" i="42"/>
  <c r="C33" i="42"/>
  <c r="S34" i="42"/>
  <c r="AD35" i="42"/>
  <c r="X33" i="42"/>
  <c r="Y32" i="42"/>
  <c r="H32" i="42"/>
  <c r="B33" i="42"/>
  <c r="B28" i="38"/>
  <c r="BE31" i="22" l="1"/>
  <c r="BF31" i="22" s="1"/>
  <c r="E21" i="17"/>
  <c r="AW31" i="22"/>
  <c r="AC32" i="22"/>
  <c r="BA32" i="22"/>
  <c r="BN37" i="22"/>
  <c r="BN36" i="1"/>
  <c r="BW37" i="17"/>
  <c r="BH29" i="22"/>
  <c r="BI29" i="22"/>
  <c r="AI32" i="22"/>
  <c r="AJ31" i="22"/>
  <c r="AN36" i="22"/>
  <c r="AO35" i="22"/>
  <c r="J35" i="22"/>
  <c r="AV32" i="22"/>
  <c r="AU33" i="22"/>
  <c r="BP33" i="22"/>
  <c r="AB33" i="22" s="1"/>
  <c r="BP32" i="1"/>
  <c r="BY33" i="17"/>
  <c r="BK30" i="22"/>
  <c r="AK30" i="22"/>
  <c r="BL30" i="22"/>
  <c r="BO34" i="22"/>
  <c r="AZ34" i="22" s="1"/>
  <c r="BO33" i="1"/>
  <c r="BX34" i="17"/>
  <c r="AR33" i="22"/>
  <c r="AS32" i="22"/>
  <c r="AF32" i="22"/>
  <c r="AG31" i="22"/>
  <c r="D22" i="17"/>
  <c r="C22" i="17"/>
  <c r="B23" i="17"/>
  <c r="AJ33" i="42"/>
  <c r="AI33" i="42"/>
  <c r="AK32" i="42"/>
  <c r="K35" i="42"/>
  <c r="AQ36" i="42"/>
  <c r="AR35" i="42"/>
  <c r="W35" i="42"/>
  <c r="T34" i="42"/>
  <c r="U34" i="42" s="1"/>
  <c r="P34" i="42"/>
  <c r="Q34" i="42" s="1"/>
  <c r="Q33" i="42"/>
  <c r="O35" i="42"/>
  <c r="L34" i="42"/>
  <c r="M33" i="42"/>
  <c r="AN34" i="42"/>
  <c r="BC34" i="42" s="1"/>
  <c r="AH35" i="42"/>
  <c r="AT33" i="42"/>
  <c r="AU32" i="42"/>
  <c r="Y35" i="44"/>
  <c r="W36" i="44"/>
  <c r="AL35" i="44"/>
  <c r="AP36" i="44"/>
  <c r="Q33" i="44"/>
  <c r="O34" i="44"/>
  <c r="AX36" i="44"/>
  <c r="U33" i="44"/>
  <c r="S34" i="44"/>
  <c r="AD34" i="44"/>
  <c r="M35" i="44"/>
  <c r="K36" i="44"/>
  <c r="AS34" i="44"/>
  <c r="AG35" i="44"/>
  <c r="AA34" i="42"/>
  <c r="AB33" i="42"/>
  <c r="AY33" i="42" s="1"/>
  <c r="S35" i="42"/>
  <c r="AE34" i="42"/>
  <c r="AF33" i="42"/>
  <c r="AM35" i="42"/>
  <c r="C34" i="42"/>
  <c r="I33" i="42"/>
  <c r="X34" i="42"/>
  <c r="Y33" i="42"/>
  <c r="H33" i="42"/>
  <c r="B34" i="42"/>
  <c r="AD36" i="42"/>
  <c r="AS35" i="42"/>
  <c r="B29" i="38"/>
  <c r="BE32" i="22" l="1"/>
  <c r="BF32" i="22" s="1"/>
  <c r="AZ35" i="22"/>
  <c r="E22" i="17"/>
  <c r="AC33" i="22"/>
  <c r="J36" i="22"/>
  <c r="BH30" i="22"/>
  <c r="BI30" i="22"/>
  <c r="AN37" i="22"/>
  <c r="AO36" i="22"/>
  <c r="BP34" i="22"/>
  <c r="AB34" i="22" s="1"/>
  <c r="BP33" i="1"/>
  <c r="BY34" i="17"/>
  <c r="AR34" i="22"/>
  <c r="AS33" i="22"/>
  <c r="BN38" i="22"/>
  <c r="BN37" i="1"/>
  <c r="BW38" i="17"/>
  <c r="BL31" i="22"/>
  <c r="BK31" i="22"/>
  <c r="AK31" i="22"/>
  <c r="BO35" i="22"/>
  <c r="BO34" i="1"/>
  <c r="BX35" i="17"/>
  <c r="AI33" i="22"/>
  <c r="AJ32" i="22"/>
  <c r="AF33" i="22"/>
  <c r="AG32" i="22"/>
  <c r="AV33" i="22"/>
  <c r="AU34" i="22"/>
  <c r="BA33" i="22"/>
  <c r="AW32" i="22"/>
  <c r="D23" i="17"/>
  <c r="B24" i="17"/>
  <c r="C23" i="17"/>
  <c r="AI34" i="42"/>
  <c r="AK33" i="42"/>
  <c r="AQ37" i="42"/>
  <c r="AR36" i="42"/>
  <c r="K36" i="42"/>
  <c r="AJ34" i="42"/>
  <c r="W36" i="42"/>
  <c r="T35" i="42"/>
  <c r="P35" i="42"/>
  <c r="O36" i="42"/>
  <c r="L35" i="42"/>
  <c r="M34" i="42"/>
  <c r="BA31" i="42"/>
  <c r="AN35" i="42"/>
  <c r="BC35" i="42" s="1"/>
  <c r="AH36" i="42"/>
  <c r="AT34" i="42"/>
  <c r="AU33" i="42"/>
  <c r="AD35" i="44"/>
  <c r="AP37" i="44"/>
  <c r="AG36" i="44"/>
  <c r="AL36" i="44"/>
  <c r="M36" i="44"/>
  <c r="K37" i="44"/>
  <c r="U34" i="44"/>
  <c r="S35" i="44"/>
  <c r="AS35" i="44"/>
  <c r="AX37" i="44"/>
  <c r="Q34" i="44"/>
  <c r="O35" i="44"/>
  <c r="Y36" i="44"/>
  <c r="W37" i="44"/>
  <c r="AE35" i="42"/>
  <c r="AF34" i="42"/>
  <c r="X35" i="42"/>
  <c r="Y34" i="42"/>
  <c r="U35" i="42"/>
  <c r="S36" i="42"/>
  <c r="AS36" i="42"/>
  <c r="AD37" i="42"/>
  <c r="I34" i="42"/>
  <c r="C35" i="42"/>
  <c r="B35" i="42"/>
  <c r="H34" i="42"/>
  <c r="AM36" i="42"/>
  <c r="AA35" i="42"/>
  <c r="AB34" i="42"/>
  <c r="AY34" i="42" s="1"/>
  <c r="B30" i="38"/>
  <c r="BE33" i="22" l="1"/>
  <c r="BF33" i="22" s="1"/>
  <c r="E23" i="17"/>
  <c r="AW33" i="22"/>
  <c r="AC34" i="22"/>
  <c r="BH31" i="22"/>
  <c r="BI31" i="22"/>
  <c r="AR35" i="22"/>
  <c r="AS34" i="22"/>
  <c r="AK32" i="22"/>
  <c r="BL32" i="22"/>
  <c r="BK32" i="22"/>
  <c r="AF34" i="22"/>
  <c r="AG33" i="22"/>
  <c r="AI34" i="22"/>
  <c r="AJ33" i="22"/>
  <c r="BP35" i="22"/>
  <c r="AB35" i="22" s="1"/>
  <c r="BP34" i="1"/>
  <c r="BY35" i="17"/>
  <c r="BN39" i="22"/>
  <c r="BN38" i="1"/>
  <c r="BW39" i="17"/>
  <c r="J37" i="22"/>
  <c r="BA34" i="22"/>
  <c r="BO36" i="22"/>
  <c r="AZ36" i="22" s="1"/>
  <c r="BO35" i="1"/>
  <c r="BX36" i="17"/>
  <c r="AU35" i="22"/>
  <c r="AV34" i="22"/>
  <c r="AN38" i="22"/>
  <c r="AO37" i="22"/>
  <c r="D24" i="17"/>
  <c r="B25" i="17"/>
  <c r="C24" i="17"/>
  <c r="AJ35" i="42"/>
  <c r="AI35" i="42"/>
  <c r="AK34" i="42"/>
  <c r="BA32" i="42"/>
  <c r="K37" i="42"/>
  <c r="AQ38" i="42"/>
  <c r="AR37" i="42"/>
  <c r="W37" i="42"/>
  <c r="T36" i="42"/>
  <c r="P36" i="42"/>
  <c r="Q35" i="42"/>
  <c r="Q36" i="42"/>
  <c r="O37" i="42"/>
  <c r="L36" i="42"/>
  <c r="M35" i="42"/>
  <c r="AN36" i="42"/>
  <c r="BC36" i="42" s="1"/>
  <c r="AH37" i="42"/>
  <c r="BA33" i="42"/>
  <c r="AT35" i="42"/>
  <c r="AU34" i="42"/>
  <c r="AL37" i="44"/>
  <c r="AX38" i="44"/>
  <c r="AG37" i="44"/>
  <c r="Y37" i="44"/>
  <c r="W38" i="44"/>
  <c r="AS36" i="44"/>
  <c r="AP38" i="44"/>
  <c r="M37" i="44"/>
  <c r="K38" i="44"/>
  <c r="Q35" i="44"/>
  <c r="O36" i="44"/>
  <c r="S36" i="44"/>
  <c r="U35" i="44"/>
  <c r="AD36" i="44"/>
  <c r="C36" i="42"/>
  <c r="I35" i="42"/>
  <c r="S37" i="42"/>
  <c r="U36" i="42"/>
  <c r="AM37" i="42"/>
  <c r="AA36" i="42"/>
  <c r="AB35" i="42"/>
  <c r="AY35" i="42" s="1"/>
  <c r="AD38" i="42"/>
  <c r="H35" i="42"/>
  <c r="B36" i="42"/>
  <c r="AS37" i="42"/>
  <c r="X36" i="42"/>
  <c r="Y35" i="42"/>
  <c r="AE36" i="42"/>
  <c r="AF35" i="42"/>
  <c r="B31" i="38"/>
  <c r="BE34" i="22" l="1"/>
  <c r="BF34" i="22" s="1"/>
  <c r="AZ37" i="22"/>
  <c r="E24" i="17"/>
  <c r="BO37" i="22"/>
  <c r="BO36" i="1"/>
  <c r="BX37" i="17"/>
  <c r="BK33" i="22"/>
  <c r="BL33" i="22"/>
  <c r="AK33" i="22"/>
  <c r="AR36" i="22"/>
  <c r="AS35" i="22"/>
  <c r="BN40" i="22"/>
  <c r="BN39" i="1"/>
  <c r="BW40" i="17"/>
  <c r="AF35" i="22"/>
  <c r="AG34" i="22"/>
  <c r="AC35" i="22"/>
  <c r="BA35" i="22"/>
  <c r="BP36" i="22"/>
  <c r="AB36" i="22" s="1"/>
  <c r="BP35" i="1"/>
  <c r="BY36" i="17"/>
  <c r="AN39" i="22"/>
  <c r="AO38" i="22"/>
  <c r="BH32" i="22"/>
  <c r="BI32" i="22"/>
  <c r="AW34" i="22"/>
  <c r="J38" i="22"/>
  <c r="AU36" i="22"/>
  <c r="AV35" i="22"/>
  <c r="AI35" i="22"/>
  <c r="AJ34" i="22"/>
  <c r="D25" i="17"/>
  <c r="B26" i="17"/>
  <c r="C25" i="17"/>
  <c r="K38" i="42"/>
  <c r="AJ36" i="42"/>
  <c r="AQ39" i="42"/>
  <c r="AR38" i="42"/>
  <c r="AI36" i="42"/>
  <c r="AK35" i="42"/>
  <c r="W38" i="42"/>
  <c r="T37" i="42"/>
  <c r="U37" i="42" s="1"/>
  <c r="P37" i="42"/>
  <c r="O38" i="42"/>
  <c r="L37" i="42"/>
  <c r="M36" i="42"/>
  <c r="AN37" i="42"/>
  <c r="BC37" i="42" s="1"/>
  <c r="AH38" i="42"/>
  <c r="AT36" i="42"/>
  <c r="AU35" i="42"/>
  <c r="BA34" i="42"/>
  <c r="AG38" i="44"/>
  <c r="M38" i="44"/>
  <c r="K39" i="44"/>
  <c r="AL38" i="44"/>
  <c r="AS37" i="44"/>
  <c r="Y38" i="44"/>
  <c r="W39" i="44"/>
  <c r="AP39" i="44"/>
  <c r="Q36" i="44"/>
  <c r="O37" i="44"/>
  <c r="AX39" i="44"/>
  <c r="AD37" i="44"/>
  <c r="S37" i="44"/>
  <c r="U36" i="44"/>
  <c r="AD39" i="42"/>
  <c r="AM38" i="42"/>
  <c r="S38" i="42"/>
  <c r="B37" i="42"/>
  <c r="H36" i="42"/>
  <c r="AE37" i="42"/>
  <c r="AF36" i="42"/>
  <c r="AS38" i="42"/>
  <c r="X37" i="42"/>
  <c r="Y36" i="42"/>
  <c r="AA37" i="42"/>
  <c r="AB36" i="42"/>
  <c r="AY36" i="42" s="1"/>
  <c r="I36" i="42"/>
  <c r="C37" i="42"/>
  <c r="B32" i="38"/>
  <c r="BE35" i="22" l="1"/>
  <c r="BF35" i="22" s="1"/>
  <c r="AZ38" i="22"/>
  <c r="E25" i="17"/>
  <c r="AC36" i="22"/>
  <c r="AR37" i="22"/>
  <c r="AS36" i="22"/>
  <c r="J39" i="22"/>
  <c r="BP37" i="22"/>
  <c r="AB37" i="22" s="1"/>
  <c r="BP36" i="1"/>
  <c r="BY37" i="17"/>
  <c r="BH33" i="22"/>
  <c r="BI33" i="22"/>
  <c r="BK34" i="22"/>
  <c r="BL34" i="22"/>
  <c r="AK34" i="22"/>
  <c r="AF36" i="22"/>
  <c r="AG35" i="22"/>
  <c r="AN40" i="22"/>
  <c r="AO39" i="22"/>
  <c r="AI36" i="22"/>
  <c r="AJ35" i="22"/>
  <c r="BA36" i="22"/>
  <c r="BN41" i="22"/>
  <c r="BW41" i="17"/>
  <c r="AW35" i="22"/>
  <c r="AU37" i="22"/>
  <c r="AV36" i="22"/>
  <c r="BO38" i="22"/>
  <c r="BO37" i="1"/>
  <c r="BX38" i="17"/>
  <c r="D26" i="17"/>
  <c r="C26" i="17"/>
  <c r="B27" i="17"/>
  <c r="AI37" i="42"/>
  <c r="AK36" i="42"/>
  <c r="AJ37" i="42"/>
  <c r="AQ40" i="42"/>
  <c r="AR39" i="42"/>
  <c r="K39" i="42"/>
  <c r="W39" i="42"/>
  <c r="T38" i="42"/>
  <c r="P38" i="42"/>
  <c r="Q37" i="42"/>
  <c r="O39" i="42"/>
  <c r="L38" i="42"/>
  <c r="M37" i="42"/>
  <c r="AN38" i="42"/>
  <c r="BC38" i="42" s="1"/>
  <c r="AH39" i="42"/>
  <c r="AT37" i="42"/>
  <c r="AU36" i="42"/>
  <c r="AS38" i="44"/>
  <c r="AD38" i="44"/>
  <c r="AL39" i="44"/>
  <c r="M39" i="44"/>
  <c r="K40" i="44"/>
  <c r="Y39" i="44"/>
  <c r="W40" i="44"/>
  <c r="AG39" i="44"/>
  <c r="Q37" i="44"/>
  <c r="O38" i="44"/>
  <c r="AX40" i="44"/>
  <c r="AP40" i="44"/>
  <c r="U37" i="44"/>
  <c r="S38" i="44"/>
  <c r="C38" i="42"/>
  <c r="I37" i="42"/>
  <c r="AM39" i="42"/>
  <c r="AE38" i="42"/>
  <c r="AF37" i="42"/>
  <c r="X38" i="42"/>
  <c r="Y37" i="42"/>
  <c r="U38" i="42"/>
  <c r="S39" i="42"/>
  <c r="AD40" i="42"/>
  <c r="AB37" i="42"/>
  <c r="AY37" i="42" s="1"/>
  <c r="AA38" i="42"/>
  <c r="AS39" i="42"/>
  <c r="H37" i="42"/>
  <c r="B38" i="42"/>
  <c r="B33" i="38"/>
  <c r="BE36" i="22" l="1"/>
  <c r="BF36" i="22" s="1"/>
  <c r="AW36" i="22"/>
  <c r="E26" i="17"/>
  <c r="AC37" i="22"/>
  <c r="BA37" i="22"/>
  <c r="BP38" i="22"/>
  <c r="AB38" i="22" s="1"/>
  <c r="BP37" i="1"/>
  <c r="BY38" i="17"/>
  <c r="AV37" i="22"/>
  <c r="AU38" i="22"/>
  <c r="AI37" i="22"/>
  <c r="AJ36" i="22"/>
  <c r="J41" i="22"/>
  <c r="J40" i="22"/>
  <c r="AN41" i="22"/>
  <c r="AO41" i="22" s="1"/>
  <c r="AO40" i="22"/>
  <c r="BO39" i="22"/>
  <c r="AZ39" i="22" s="1"/>
  <c r="BO38" i="1"/>
  <c r="BX39" i="17"/>
  <c r="BL35" i="22"/>
  <c r="BK35" i="22"/>
  <c r="AK35" i="22"/>
  <c r="AG36" i="22"/>
  <c r="AF37" i="22"/>
  <c r="AR38" i="22"/>
  <c r="AS37" i="22"/>
  <c r="BH34" i="22"/>
  <c r="BI34" i="22"/>
  <c r="D27" i="17"/>
  <c r="C27" i="17"/>
  <c r="B28" i="17"/>
  <c r="AI38" i="42"/>
  <c r="AK37" i="42"/>
  <c r="AJ38" i="42"/>
  <c r="K40" i="42"/>
  <c r="AQ41" i="42"/>
  <c r="AR41" i="42" s="1"/>
  <c r="AR40" i="42"/>
  <c r="W40" i="42"/>
  <c r="T39" i="42"/>
  <c r="P39" i="42"/>
  <c r="Q39" i="42" s="1"/>
  <c r="Q38" i="42"/>
  <c r="O40" i="42"/>
  <c r="L39" i="42"/>
  <c r="M38" i="42"/>
  <c r="BA35" i="42"/>
  <c r="AN39" i="42"/>
  <c r="BC39" i="42" s="1"/>
  <c r="AH40" i="42"/>
  <c r="AT38" i="42"/>
  <c r="AU37" i="42"/>
  <c r="AD39" i="44"/>
  <c r="U38" i="44"/>
  <c r="S39" i="44"/>
  <c r="AL40" i="44"/>
  <c r="AP41" i="44"/>
  <c r="W41" i="44"/>
  <c r="Y41" i="44" s="1"/>
  <c r="Y40" i="44"/>
  <c r="M40" i="44"/>
  <c r="K41" i="44"/>
  <c r="M41" i="44" s="1"/>
  <c r="AS39" i="44"/>
  <c r="O39" i="44"/>
  <c r="Q38" i="44"/>
  <c r="AX41" i="44"/>
  <c r="AG40" i="44"/>
  <c r="AA39" i="42"/>
  <c r="AB38" i="42"/>
  <c r="AY38" i="42" s="1"/>
  <c r="B39" i="42"/>
  <c r="H38" i="42"/>
  <c r="U39" i="42"/>
  <c r="S40" i="42"/>
  <c r="AM40" i="42"/>
  <c r="X39" i="42"/>
  <c r="Y38" i="42"/>
  <c r="AS40" i="42"/>
  <c r="AD41" i="42"/>
  <c r="AE39" i="42"/>
  <c r="AF38" i="42"/>
  <c r="I38" i="42"/>
  <c r="C39" i="42"/>
  <c r="B34" i="38"/>
  <c r="BE37" i="22" l="1"/>
  <c r="BF37" i="22" s="1"/>
  <c r="E27" i="17"/>
  <c r="AC38" i="22"/>
  <c r="BP39" i="22"/>
  <c r="AB39" i="22" s="1"/>
  <c r="BP38" i="1"/>
  <c r="BY39" i="17"/>
  <c r="AF38" i="22"/>
  <c r="AG37" i="22"/>
  <c r="AU39" i="22"/>
  <c r="AV38" i="22"/>
  <c r="AR39" i="22"/>
  <c r="AS38" i="22"/>
  <c r="AI38" i="22"/>
  <c r="AJ37" i="22"/>
  <c r="BL36" i="22"/>
  <c r="BK36" i="22"/>
  <c r="AK36" i="22"/>
  <c r="AW37" i="22"/>
  <c r="BO40" i="22"/>
  <c r="AZ40" i="22" s="1"/>
  <c r="BX40" i="17"/>
  <c r="BO39" i="1"/>
  <c r="BA38" i="22"/>
  <c r="BH35" i="22"/>
  <c r="BI35" i="22"/>
  <c r="D28" i="17"/>
  <c r="C28" i="17"/>
  <c r="B29" i="17"/>
  <c r="K41" i="42"/>
  <c r="AI39" i="42"/>
  <c r="AK38" i="42"/>
  <c r="AJ39" i="42"/>
  <c r="W41" i="42"/>
  <c r="T40" i="42"/>
  <c r="P40" i="42"/>
  <c r="Q40" i="42" s="1"/>
  <c r="O41" i="42"/>
  <c r="BA36" i="42"/>
  <c r="L40" i="42"/>
  <c r="M39" i="42"/>
  <c r="AN40" i="42"/>
  <c r="BC40" i="42" s="1"/>
  <c r="AH41" i="42"/>
  <c r="AT39" i="42"/>
  <c r="AU38" i="42"/>
  <c r="BA37" i="42"/>
  <c r="O40" i="44"/>
  <c r="Q39" i="44"/>
  <c r="AG41" i="44"/>
  <c r="AL41" i="44"/>
  <c r="U39" i="44"/>
  <c r="S40" i="44"/>
  <c r="AS40" i="44"/>
  <c r="AD40" i="44"/>
  <c r="I39" i="42"/>
  <c r="C40" i="42"/>
  <c r="AM41" i="42"/>
  <c r="S41" i="42"/>
  <c r="U40" i="42"/>
  <c r="AE40" i="42"/>
  <c r="AF39" i="42"/>
  <c r="H39" i="42"/>
  <c r="B40" i="42"/>
  <c r="X40" i="42"/>
  <c r="Y39" i="42"/>
  <c r="AS41" i="42"/>
  <c r="AA40" i="42"/>
  <c r="AB39" i="42"/>
  <c r="AY39" i="42" s="1"/>
  <c r="B35" i="38"/>
  <c r="BE38" i="22" l="1"/>
  <c r="BF38" i="22" s="1"/>
  <c r="E28" i="17"/>
  <c r="AC39" i="22"/>
  <c r="AG38" i="22"/>
  <c r="AF39" i="22"/>
  <c r="AI39" i="22"/>
  <c r="AJ38" i="22"/>
  <c r="AR40" i="22"/>
  <c r="AS39" i="22"/>
  <c r="BP40" i="22"/>
  <c r="AB40" i="22" s="1"/>
  <c r="BP39" i="1"/>
  <c r="BY40" i="17"/>
  <c r="BH36" i="22"/>
  <c r="BI36" i="22"/>
  <c r="AW38" i="22"/>
  <c r="BA39" i="22"/>
  <c r="AV39" i="22"/>
  <c r="AU40" i="22"/>
  <c r="BO41" i="22"/>
  <c r="AZ41" i="22" s="1"/>
  <c r="BX41" i="17"/>
  <c r="BK37" i="22"/>
  <c r="AK37" i="22"/>
  <c r="BL37" i="22"/>
  <c r="D29" i="17"/>
  <c r="C29" i="17"/>
  <c r="B30" i="17"/>
  <c r="AJ40" i="42"/>
  <c r="AI40" i="42"/>
  <c r="AK39" i="42"/>
  <c r="T41" i="42"/>
  <c r="U41" i="42" s="1"/>
  <c r="P41" i="42"/>
  <c r="Q41" i="42" s="1"/>
  <c r="L41" i="42"/>
  <c r="M40" i="42"/>
  <c r="AN41" i="42"/>
  <c r="BC41" i="42" s="1"/>
  <c r="AT40" i="42"/>
  <c r="AU39" i="42"/>
  <c r="AD41" i="44"/>
  <c r="AS41" i="44"/>
  <c r="U40" i="44"/>
  <c r="S41" i="44"/>
  <c r="U41" i="44" s="1"/>
  <c r="Q40" i="44"/>
  <c r="O41" i="44"/>
  <c r="Q41" i="44" s="1"/>
  <c r="AE41" i="42"/>
  <c r="AF40" i="42"/>
  <c r="AA41" i="42"/>
  <c r="AB40" i="42"/>
  <c r="AY40" i="42" s="1"/>
  <c r="H40" i="42"/>
  <c r="B41" i="42"/>
  <c r="X41" i="42"/>
  <c r="Y40" i="42"/>
  <c r="I40" i="42"/>
  <c r="C41" i="42"/>
  <c r="B36" i="38"/>
  <c r="BE39" i="22" l="1"/>
  <c r="BF39" i="22" s="1"/>
  <c r="AW39" i="22"/>
  <c r="E29" i="17"/>
  <c r="AC40" i="22"/>
  <c r="BA41" i="22"/>
  <c r="BA40" i="22"/>
  <c r="AR41" i="22"/>
  <c r="AS41" i="22" s="1"/>
  <c r="AS40" i="22"/>
  <c r="AF40" i="22"/>
  <c r="AG39" i="22"/>
  <c r="AU41" i="22"/>
  <c r="AV41" i="22" s="1"/>
  <c r="AV40" i="22"/>
  <c r="BL38" i="22"/>
  <c r="BK38" i="22"/>
  <c r="AK38" i="22"/>
  <c r="BH37" i="22"/>
  <c r="BI37" i="22"/>
  <c r="AI40" i="22"/>
  <c r="AJ39" i="22"/>
  <c r="BP41" i="22"/>
  <c r="AB41" i="22" s="1"/>
  <c r="AC41" i="22" s="1"/>
  <c r="BY41" i="17"/>
  <c r="D30" i="17"/>
  <c r="B31" i="17"/>
  <c r="C30" i="17"/>
  <c r="AI41" i="42"/>
  <c r="AK40" i="42"/>
  <c r="AJ41" i="42"/>
  <c r="AB41" i="42"/>
  <c r="AY41" i="42" s="1"/>
  <c r="BA39" i="42"/>
  <c r="AF41" i="42"/>
  <c r="Y41" i="42"/>
  <c r="M41" i="42"/>
  <c r="H41" i="42"/>
  <c r="BA38" i="42"/>
  <c r="AT41" i="42"/>
  <c r="AU40" i="42"/>
  <c r="I41" i="42"/>
  <c r="B37" i="38"/>
  <c r="BE41" i="22" l="1"/>
  <c r="BF41" i="22" s="1"/>
  <c r="BE40" i="22"/>
  <c r="BF40" i="22" s="1"/>
  <c r="E30" i="17"/>
  <c r="AF41" i="22"/>
  <c r="AG41" i="22" s="1"/>
  <c r="AG40" i="22"/>
  <c r="BH38" i="22"/>
  <c r="BI38" i="22"/>
  <c r="AI41" i="22"/>
  <c r="AJ41" i="22" s="1"/>
  <c r="AJ40" i="22"/>
  <c r="AW40" i="22"/>
  <c r="BK39" i="22"/>
  <c r="AK39" i="22"/>
  <c r="BL39" i="22"/>
  <c r="AW41" i="22"/>
  <c r="D31" i="17"/>
  <c r="B32" i="17"/>
  <c r="C31" i="17"/>
  <c r="AU41" i="42"/>
  <c r="AK41" i="42"/>
  <c r="BA41" i="42" s="1"/>
  <c r="BA40" i="42"/>
  <c r="B38" i="38"/>
  <c r="E31" i="17" l="1"/>
  <c r="BH39" i="22"/>
  <c r="BI39" i="22"/>
  <c r="BK40" i="22"/>
  <c r="BL40" i="22"/>
  <c r="AK40" i="22"/>
  <c r="BL41" i="22"/>
  <c r="AK41" i="22"/>
  <c r="BK41" i="22"/>
  <c r="D32" i="17"/>
  <c r="B33" i="17"/>
  <c r="C32" i="17"/>
  <c r="B39" i="38"/>
  <c r="E32" i="17" l="1"/>
  <c r="BH41" i="22"/>
  <c r="BI41" i="22"/>
  <c r="BH40" i="22"/>
  <c r="BI40" i="22"/>
  <c r="D33" i="17"/>
  <c r="C33" i="17"/>
  <c r="B34" i="17"/>
  <c r="B40" i="38"/>
  <c r="E33" i="17" l="1"/>
  <c r="D34" i="17"/>
  <c r="C34" i="17"/>
  <c r="B35" i="17"/>
  <c r="B41" i="38"/>
  <c r="E34" i="17" l="1"/>
  <c r="D35" i="17"/>
  <c r="C35" i="17"/>
  <c r="B36" i="17"/>
  <c r="B42" i="38"/>
  <c r="E35" i="17" l="1"/>
  <c r="D36" i="17"/>
  <c r="B37" i="17"/>
  <c r="C36" i="17"/>
  <c r="B43" i="38"/>
  <c r="E36" i="17" l="1"/>
  <c r="D37" i="17"/>
  <c r="B38" i="17"/>
  <c r="C37" i="17"/>
  <c r="B44" i="38"/>
  <c r="E37" i="17" l="1"/>
  <c r="D38" i="17"/>
  <c r="C38" i="17"/>
  <c r="B39" i="17"/>
  <c r="B45" i="38"/>
  <c r="E38" i="17" l="1"/>
  <c r="D39" i="17"/>
  <c r="B40" i="17"/>
  <c r="C39" i="17"/>
  <c r="B46" i="38"/>
  <c r="E39" i="17" l="1"/>
  <c r="D40" i="17"/>
  <c r="B41" i="17"/>
  <c r="C41" i="17" s="1"/>
  <c r="C40" i="17"/>
  <c r="B47" i="38"/>
  <c r="E40" i="17" l="1"/>
  <c r="D41" i="17"/>
  <c r="B48" i="38"/>
  <c r="E41" i="17" l="1"/>
  <c r="B49" i="38"/>
  <c r="BO41" i="18" l="1"/>
  <c r="BK41" i="44" s="1"/>
  <c r="BN41" i="18"/>
  <c r="BJ41" i="44" s="1"/>
  <c r="BO40" i="18"/>
  <c r="BN40" i="18"/>
  <c r="BO39" i="18"/>
  <c r="BK39" i="44" s="1"/>
  <c r="BN39" i="18"/>
  <c r="BJ39" i="44" s="1"/>
  <c r="BO38" i="18"/>
  <c r="BK38" i="44" s="1"/>
  <c r="BN38" i="18"/>
  <c r="BJ38" i="44" s="1"/>
  <c r="BO37" i="18"/>
  <c r="BK37" i="44" s="1"/>
  <c r="BN37" i="18"/>
  <c r="BJ37" i="44" s="1"/>
  <c r="BO36" i="18"/>
  <c r="BN36" i="18"/>
  <c r="BO35" i="18"/>
  <c r="BK35" i="44" s="1"/>
  <c r="BN35" i="18"/>
  <c r="BJ35" i="44" s="1"/>
  <c r="BO34" i="18"/>
  <c r="BK34" i="44" s="1"/>
  <c r="BN34" i="18"/>
  <c r="BJ34" i="44" s="1"/>
  <c r="BO33" i="18"/>
  <c r="BK33" i="44" s="1"/>
  <c r="BN33" i="18"/>
  <c r="BJ33" i="44" s="1"/>
  <c r="BO32" i="18"/>
  <c r="BN32" i="18"/>
  <c r="BO31" i="18"/>
  <c r="BK31" i="44" s="1"/>
  <c r="BN31" i="18"/>
  <c r="BJ31" i="44" s="1"/>
  <c r="BO30" i="18"/>
  <c r="BK30" i="44" s="1"/>
  <c r="BN30" i="18"/>
  <c r="BJ30" i="44" s="1"/>
  <c r="BO29" i="18"/>
  <c r="BK29" i="44" s="1"/>
  <c r="BN29" i="18"/>
  <c r="BJ29" i="44" s="1"/>
  <c r="BO28" i="18"/>
  <c r="BN28" i="18"/>
  <c r="BO27" i="18"/>
  <c r="BK27" i="44" s="1"/>
  <c r="BN27" i="18"/>
  <c r="BJ27" i="44" s="1"/>
  <c r="BO26" i="18"/>
  <c r="BK26" i="44" s="1"/>
  <c r="BN26" i="18"/>
  <c r="BJ26" i="44" s="1"/>
  <c r="BO25" i="18"/>
  <c r="BK25" i="44" s="1"/>
  <c r="BN25" i="18"/>
  <c r="BJ25" i="44" s="1"/>
  <c r="BO24" i="18"/>
  <c r="BN24" i="18"/>
  <c r="BO23" i="18"/>
  <c r="BK23" i="44" s="1"/>
  <c r="BN23" i="18"/>
  <c r="BJ23" i="44" s="1"/>
  <c r="BO22" i="18"/>
  <c r="BK22" i="44" s="1"/>
  <c r="BN22" i="18"/>
  <c r="BJ22" i="44" s="1"/>
  <c r="BO21" i="18"/>
  <c r="BK21" i="44" s="1"/>
  <c r="BN21" i="18"/>
  <c r="BJ21" i="44" s="1"/>
  <c r="BO20" i="18"/>
  <c r="BN20" i="18"/>
  <c r="BO19" i="18"/>
  <c r="BK19" i="44" s="1"/>
  <c r="BN19" i="18"/>
  <c r="BJ19" i="44" s="1"/>
  <c r="BO18" i="18"/>
  <c r="BK18" i="44" s="1"/>
  <c r="BN18" i="18"/>
  <c r="BJ18" i="44" s="1"/>
  <c r="BO17" i="18"/>
  <c r="BK17" i="44" s="1"/>
  <c r="BN17" i="18"/>
  <c r="BJ17" i="44" s="1"/>
  <c r="BO16" i="18"/>
  <c r="BN16" i="18"/>
  <c r="BO15" i="18"/>
  <c r="BK15" i="44" s="1"/>
  <c r="BN15" i="18"/>
  <c r="BJ15" i="44" s="1"/>
  <c r="BO14" i="18"/>
  <c r="BK14" i="44" s="1"/>
  <c r="BN14" i="18"/>
  <c r="BJ14" i="44" s="1"/>
  <c r="BO13" i="18"/>
  <c r="BK13" i="44" s="1"/>
  <c r="BN13" i="18"/>
  <c r="BJ13" i="44" s="1"/>
  <c r="BO12" i="18"/>
  <c r="BN12" i="18"/>
  <c r="BO11" i="18"/>
  <c r="BK11" i="44" s="1"/>
  <c r="BN11" i="18"/>
  <c r="BJ11" i="44" s="1"/>
  <c r="BO10" i="18"/>
  <c r="BK10" i="44" s="1"/>
  <c r="BN10" i="18"/>
  <c r="BJ10" i="44" s="1"/>
  <c r="BO9" i="18"/>
  <c r="BK9" i="44" s="1"/>
  <c r="BN9" i="18"/>
  <c r="BJ9" i="44" s="1"/>
  <c r="BO8" i="18"/>
  <c r="BN8" i="18"/>
  <c r="BO7" i="18"/>
  <c r="BK7" i="44" s="1"/>
  <c r="BN7" i="18"/>
  <c r="I7" i="21"/>
  <c r="AB7" i="21"/>
  <c r="H11" i="39" s="1"/>
  <c r="BJ21" i="23"/>
  <c r="BJ26" i="23"/>
  <c r="BJ34" i="23"/>
  <c r="BK7" i="23"/>
  <c r="BK9" i="23"/>
  <c r="BK11" i="23"/>
  <c r="BK13" i="23"/>
  <c r="BK17" i="23"/>
  <c r="BK18" i="23"/>
  <c r="BK21" i="23"/>
  <c r="BK23" i="23"/>
  <c r="BK25" i="23"/>
  <c r="BK29" i="23"/>
  <c r="BK30" i="23"/>
  <c r="BK31" i="23"/>
  <c r="BK33" i="23"/>
  <c r="BK37" i="23"/>
  <c r="BK39" i="23"/>
  <c r="BK41" i="23"/>
  <c r="BM41" i="23"/>
  <c r="BL41" i="23"/>
  <c r="BM40" i="23"/>
  <c r="BL40" i="23"/>
  <c r="BM39" i="23"/>
  <c r="BL39" i="23"/>
  <c r="BM38" i="23"/>
  <c r="BL38" i="23"/>
  <c r="BM37" i="23"/>
  <c r="BL37" i="23"/>
  <c r="BM36" i="23"/>
  <c r="BL36" i="23"/>
  <c r="BM35" i="23"/>
  <c r="BL35" i="23"/>
  <c r="BM34" i="23"/>
  <c r="BL34" i="23"/>
  <c r="BM33" i="23"/>
  <c r="BL33" i="23"/>
  <c r="BM32" i="23"/>
  <c r="BL32" i="23"/>
  <c r="BM31" i="23"/>
  <c r="BL31" i="23"/>
  <c r="BM30" i="23"/>
  <c r="BL30" i="23"/>
  <c r="BM29" i="23"/>
  <c r="BL29" i="23"/>
  <c r="BM28" i="23"/>
  <c r="BL28" i="23"/>
  <c r="BM27" i="23"/>
  <c r="BL27" i="23"/>
  <c r="BM26" i="23"/>
  <c r="BL26" i="23"/>
  <c r="BM25" i="23"/>
  <c r="BL25" i="23"/>
  <c r="BM24" i="23"/>
  <c r="BL24" i="23"/>
  <c r="BM23" i="23"/>
  <c r="BL23" i="23"/>
  <c r="BM22" i="23"/>
  <c r="BL22" i="23"/>
  <c r="BM21" i="23"/>
  <c r="BL21" i="23"/>
  <c r="BM20" i="23"/>
  <c r="BL20" i="23"/>
  <c r="BM19" i="23"/>
  <c r="BL19" i="23"/>
  <c r="BM18" i="23"/>
  <c r="BL18" i="23"/>
  <c r="BM17" i="23"/>
  <c r="BL17" i="23"/>
  <c r="BM16" i="23"/>
  <c r="BL16" i="23"/>
  <c r="BM15" i="23"/>
  <c r="BL15" i="23"/>
  <c r="BM14" i="23"/>
  <c r="BL14" i="23"/>
  <c r="BM13" i="23"/>
  <c r="BL13" i="23"/>
  <c r="BM12" i="23"/>
  <c r="BL12" i="23"/>
  <c r="BM11" i="23"/>
  <c r="BL11" i="23"/>
  <c r="BM10" i="23"/>
  <c r="BL10" i="23"/>
  <c r="BM9" i="23"/>
  <c r="BL9" i="23"/>
  <c r="BM8" i="23"/>
  <c r="BL8" i="23"/>
  <c r="AY7" i="23"/>
  <c r="AX7" i="23"/>
  <c r="AT7" i="23"/>
  <c r="AS7" i="23"/>
  <c r="AU7" i="23" s="1"/>
  <c r="AQ7" i="23"/>
  <c r="AP7" i="23"/>
  <c r="AM7" i="23"/>
  <c r="AN7" i="23" s="1"/>
  <c r="AL7" i="23"/>
  <c r="AL8" i="23" s="1"/>
  <c r="AH7" i="23"/>
  <c r="AI7" i="23" s="1"/>
  <c r="AG7" i="23"/>
  <c r="AE7" i="23"/>
  <c r="AD7" i="23"/>
  <c r="AD8" i="23" s="1"/>
  <c r="AD9" i="23" s="1"/>
  <c r="AD10" i="23" s="1"/>
  <c r="AD11" i="23" s="1"/>
  <c r="AD12" i="23" s="1"/>
  <c r="AD13" i="23" s="1"/>
  <c r="AD14" i="23" s="1"/>
  <c r="AD15" i="23" s="1"/>
  <c r="AD16" i="23" s="1"/>
  <c r="AD17" i="23" s="1"/>
  <c r="AD18" i="23" s="1"/>
  <c r="AD19" i="23" s="1"/>
  <c r="AD20" i="23" s="1"/>
  <c r="AD21" i="23" s="1"/>
  <c r="AD22" i="23" s="1"/>
  <c r="AD23" i="23" s="1"/>
  <c r="AD24" i="23" s="1"/>
  <c r="AD25" i="23" s="1"/>
  <c r="AD26" i="23" s="1"/>
  <c r="AD27" i="23" s="1"/>
  <c r="AD28" i="23" s="1"/>
  <c r="AD29" i="23" s="1"/>
  <c r="AD30" i="23" s="1"/>
  <c r="AD31" i="23" s="1"/>
  <c r="AD32" i="23" s="1"/>
  <c r="AD33" i="23" s="1"/>
  <c r="AD34" i="23" s="1"/>
  <c r="AD35" i="23" s="1"/>
  <c r="AD36" i="23" s="1"/>
  <c r="AD37" i="23" s="1"/>
  <c r="AD38" i="23" s="1"/>
  <c r="AD39" i="23" s="1"/>
  <c r="AD40" i="23" s="1"/>
  <c r="AD41" i="23" s="1"/>
  <c r="AA7" i="23"/>
  <c r="X7" i="23"/>
  <c r="W7" i="23"/>
  <c r="Y7" i="23"/>
  <c r="T7" i="23"/>
  <c r="S7" i="23"/>
  <c r="S8" i="23" s="1"/>
  <c r="S9" i="23" s="1"/>
  <c r="P7" i="23"/>
  <c r="O7" i="23"/>
  <c r="Q7" i="23"/>
  <c r="L7" i="23"/>
  <c r="M7" i="23" s="1"/>
  <c r="K7" i="23"/>
  <c r="K8" i="23"/>
  <c r="K9" i="23" s="1"/>
  <c r="F7" i="23"/>
  <c r="BB7" i="23" s="1"/>
  <c r="E7" i="23"/>
  <c r="C7" i="23"/>
  <c r="B7" i="23"/>
  <c r="AX8" i="23"/>
  <c r="AS8" i="23"/>
  <c r="AS9" i="23" s="1"/>
  <c r="AP8" i="23"/>
  <c r="AP9" i="23" s="1"/>
  <c r="AP10" i="23" s="1"/>
  <c r="AP11" i="23" s="1"/>
  <c r="AP12" i="23" s="1"/>
  <c r="AP13" i="23" s="1"/>
  <c r="AP14" i="23" s="1"/>
  <c r="AP15" i="23" s="1"/>
  <c r="AP16" i="23" s="1"/>
  <c r="AP17" i="23" s="1"/>
  <c r="AP18" i="23" s="1"/>
  <c r="AP19" i="23" s="1"/>
  <c r="AP20" i="23" s="1"/>
  <c r="AP21" i="23" s="1"/>
  <c r="AP22" i="23" s="1"/>
  <c r="AP23" i="23" s="1"/>
  <c r="AP24" i="23" s="1"/>
  <c r="AP25" i="23" s="1"/>
  <c r="AP26" i="23" s="1"/>
  <c r="AP27" i="23" s="1"/>
  <c r="AP28" i="23" s="1"/>
  <c r="AP29" i="23" s="1"/>
  <c r="AP30" i="23" s="1"/>
  <c r="AP31" i="23" s="1"/>
  <c r="AP32" i="23" s="1"/>
  <c r="AP33" i="23" s="1"/>
  <c r="AP34" i="23" s="1"/>
  <c r="AP35" i="23" s="1"/>
  <c r="AP36" i="23" s="1"/>
  <c r="AP37" i="23" s="1"/>
  <c r="AP38" i="23" s="1"/>
  <c r="AP39" i="23" s="1"/>
  <c r="AP40" i="23" s="1"/>
  <c r="AP41" i="23" s="1"/>
  <c r="AL9" i="23"/>
  <c r="AG8" i="23"/>
  <c r="AG9" i="23" s="1"/>
  <c r="AG10" i="23" s="1"/>
  <c r="AG11" i="23" s="1"/>
  <c r="AG12" i="23" s="1"/>
  <c r="A8" i="23"/>
  <c r="A9" i="23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Z7" i="23"/>
  <c r="H7" i="23"/>
  <c r="E41" i="21"/>
  <c r="AX8" i="21"/>
  <c r="AX9" i="21" s="1"/>
  <c r="AS8" i="21"/>
  <c r="AP8" i="21"/>
  <c r="AP9" i="21"/>
  <c r="AP10" i="21" s="1"/>
  <c r="AP11" i="21" s="1"/>
  <c r="AP12" i="21" s="1"/>
  <c r="AP13" i="21" s="1"/>
  <c r="AP14" i="21" s="1"/>
  <c r="AP15" i="21" s="1"/>
  <c r="AP16" i="21" s="1"/>
  <c r="AP17" i="21" s="1"/>
  <c r="AP18" i="21" s="1"/>
  <c r="AP19" i="21" s="1"/>
  <c r="AP20" i="21" s="1"/>
  <c r="AP21" i="21" s="1"/>
  <c r="AP22" i="21" s="1"/>
  <c r="AP23" i="21" s="1"/>
  <c r="AP24" i="21" s="1"/>
  <c r="AL8" i="21"/>
  <c r="AL9" i="21"/>
  <c r="AG8" i="21"/>
  <c r="AG9" i="21" s="1"/>
  <c r="AG10" i="21" s="1"/>
  <c r="W8" i="21"/>
  <c r="W9" i="21" s="1"/>
  <c r="W10" i="21" s="1"/>
  <c r="W11" i="21" s="1"/>
  <c r="W12" i="21" s="1"/>
  <c r="S8" i="21"/>
  <c r="S9" i="21" s="1"/>
  <c r="S10" i="21" s="1"/>
  <c r="S11" i="21" s="1"/>
  <c r="S12" i="21" s="1"/>
  <c r="O8" i="21"/>
  <c r="O9" i="21" s="1"/>
  <c r="K8" i="21"/>
  <c r="B8" i="21"/>
  <c r="AZ7" i="21"/>
  <c r="H16" i="39" s="1"/>
  <c r="AU7" i="21"/>
  <c r="H15" i="39" s="1"/>
  <c r="AR7" i="21"/>
  <c r="AN7" i="21"/>
  <c r="D32" i="62" s="1"/>
  <c r="D36" i="62" s="1"/>
  <c r="AI7" i="21"/>
  <c r="H12" i="39" s="1"/>
  <c r="AF7" i="21"/>
  <c r="Y7" i="21"/>
  <c r="H10" i="39" s="1"/>
  <c r="U7" i="21"/>
  <c r="H9" i="39" s="1"/>
  <c r="Q7" i="21"/>
  <c r="H8" i="39" s="1"/>
  <c r="M7" i="21"/>
  <c r="H7" i="39" s="1"/>
  <c r="H7" i="21"/>
  <c r="A8" i="2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O8" i="23"/>
  <c r="O9" i="23"/>
  <c r="W8" i="23"/>
  <c r="W9" i="23" s="1"/>
  <c r="W10" i="23" s="1"/>
  <c r="W11" i="23" s="1"/>
  <c r="U7" i="23"/>
  <c r="K10" i="23"/>
  <c r="AL10" i="23"/>
  <c r="AX9" i="23"/>
  <c r="K9" i="21"/>
  <c r="K10" i="21"/>
  <c r="K11" i="21" s="1"/>
  <c r="AS9" i="21"/>
  <c r="BA7" i="18"/>
  <c r="BF7" i="17"/>
  <c r="BF8" i="17" s="1"/>
  <c r="BF9" i="17" s="1"/>
  <c r="BF10" i="17" s="1"/>
  <c r="BF11" i="17" s="1"/>
  <c r="BF12" i="17" s="1"/>
  <c r="BF13" i="17" s="1"/>
  <c r="BF14" i="17" s="1"/>
  <c r="BF15" i="17" s="1"/>
  <c r="BF16" i="17" s="1"/>
  <c r="BF17" i="17" s="1"/>
  <c r="BF18" i="17" s="1"/>
  <c r="BF19" i="17" s="1"/>
  <c r="BF20" i="17" s="1"/>
  <c r="BF21" i="17" s="1"/>
  <c r="AX7" i="18"/>
  <c r="BC7" i="17"/>
  <c r="BC8" i="17" s="1"/>
  <c r="BC9" i="17" s="1"/>
  <c r="BC10" i="17" s="1"/>
  <c r="BC11" i="17" s="1"/>
  <c r="BC12" i="17" s="1"/>
  <c r="BC13" i="17" s="1"/>
  <c r="BC14" i="17" s="1"/>
  <c r="BC15" i="17" s="1"/>
  <c r="BC16" i="17" s="1"/>
  <c r="BC17" i="17" s="1"/>
  <c r="BC18" i="17" s="1"/>
  <c r="BC19" i="17" s="1"/>
  <c r="BC20" i="17" s="1"/>
  <c r="BC21" i="17" s="1"/>
  <c r="AU7" i="18"/>
  <c r="AZ7" i="17"/>
  <c r="AZ8" i="17" s="1"/>
  <c r="AZ9" i="17" s="1"/>
  <c r="AZ10" i="17" s="1"/>
  <c r="AZ11" i="17" s="1"/>
  <c r="AZ12" i="17" s="1"/>
  <c r="AZ13" i="17" s="1"/>
  <c r="AZ14" i="17" s="1"/>
  <c r="AZ15" i="17" s="1"/>
  <c r="AZ16" i="17" s="1"/>
  <c r="AZ17" i="17" s="1"/>
  <c r="AZ18" i="17" s="1"/>
  <c r="AZ19" i="17" s="1"/>
  <c r="AZ20" i="17" s="1"/>
  <c r="AZ21" i="17" s="1"/>
  <c r="AR7" i="18"/>
  <c r="AW7" i="17"/>
  <c r="AW8" i="17" s="1"/>
  <c r="AW9" i="17" s="1"/>
  <c r="AQ7" i="18"/>
  <c r="AV7" i="17"/>
  <c r="AF7" i="18"/>
  <c r="AF8" i="18" s="1"/>
  <c r="AK7" i="17"/>
  <c r="AK8" i="17" s="1"/>
  <c r="AJ7" i="18"/>
  <c r="AO8" i="17"/>
  <c r="AO9" i="17" s="1"/>
  <c r="AN7" i="18"/>
  <c r="AS7" i="17"/>
  <c r="AS8" i="17" s="1"/>
  <c r="AS9" i="17" s="1"/>
  <c r="AM7" i="18"/>
  <c r="AM8" i="18" s="1"/>
  <c r="AM9" i="18" s="1"/>
  <c r="AM10" i="18" s="1"/>
  <c r="AM11" i="18" s="1"/>
  <c r="AM12" i="18" s="1"/>
  <c r="AR7" i="17"/>
  <c r="AI7" i="18"/>
  <c r="AI8" i="18" s="1"/>
  <c r="AI9" i="18" s="1"/>
  <c r="AI10" i="18" s="1"/>
  <c r="AN8" i="17"/>
  <c r="AN9" i="17" s="1"/>
  <c r="AN10" i="17" s="1"/>
  <c r="AN11" i="17" s="1"/>
  <c r="AN12" i="17" s="1"/>
  <c r="AN13" i="17" s="1"/>
  <c r="AN14" i="17" s="1"/>
  <c r="AN15" i="17" s="1"/>
  <c r="AN16" i="17" s="1"/>
  <c r="AN17" i="17" s="1"/>
  <c r="AN18" i="17" s="1"/>
  <c r="AN19" i="17" s="1"/>
  <c r="AN20" i="17" s="1"/>
  <c r="AN21" i="17" s="1"/>
  <c r="AN22" i="17" s="1"/>
  <c r="AN23" i="17" s="1"/>
  <c r="AN24" i="17" s="1"/>
  <c r="AN25" i="17" s="1"/>
  <c r="AN26" i="17" s="1"/>
  <c r="AN27" i="17" s="1"/>
  <c r="AN28" i="17" s="1"/>
  <c r="AN29" i="17" s="1"/>
  <c r="AN30" i="17" s="1"/>
  <c r="AN31" i="17" s="1"/>
  <c r="AN32" i="17" s="1"/>
  <c r="AN33" i="17" s="1"/>
  <c r="AN34" i="17" s="1"/>
  <c r="AN35" i="17" s="1"/>
  <c r="AN36" i="17" s="1"/>
  <c r="AN37" i="17" s="1"/>
  <c r="AN38" i="17" s="1"/>
  <c r="AN39" i="17" s="1"/>
  <c r="AN40" i="17" s="1"/>
  <c r="AN41" i="17" s="1"/>
  <c r="AE7" i="18"/>
  <c r="AE8" i="18" s="1"/>
  <c r="AE9" i="18" s="1"/>
  <c r="AE10" i="18" s="1"/>
  <c r="AE11" i="18" s="1"/>
  <c r="AE12" i="18" s="1"/>
  <c r="AE13" i="18" s="1"/>
  <c r="AE14" i="18" s="1"/>
  <c r="AE15" i="18" s="1"/>
  <c r="AE16" i="18" s="1"/>
  <c r="AE17" i="18" s="1"/>
  <c r="AE18" i="18" s="1"/>
  <c r="AE19" i="18" s="1"/>
  <c r="AE20" i="18" s="1"/>
  <c r="AE21" i="18" s="1"/>
  <c r="AE22" i="18" s="1"/>
  <c r="AE23" i="18" s="1"/>
  <c r="AE24" i="18" s="1"/>
  <c r="AE25" i="18" s="1"/>
  <c r="AE26" i="18" s="1"/>
  <c r="AE27" i="18" s="1"/>
  <c r="AE28" i="18" s="1"/>
  <c r="AE29" i="18" s="1"/>
  <c r="AE30" i="18" s="1"/>
  <c r="AE31" i="18" s="1"/>
  <c r="AE32" i="18" s="1"/>
  <c r="AE33" i="18" s="1"/>
  <c r="AE34" i="18" s="1"/>
  <c r="AE35" i="18" s="1"/>
  <c r="AE36" i="18" s="1"/>
  <c r="AE37" i="18" s="1"/>
  <c r="AE38" i="18" s="1"/>
  <c r="AE39" i="18" s="1"/>
  <c r="AE40" i="18" s="1"/>
  <c r="AE41" i="18" s="1"/>
  <c r="AJ7" i="17"/>
  <c r="AD7" i="18"/>
  <c r="AI7" i="17"/>
  <c r="AB7" i="18"/>
  <c r="AG7" i="17"/>
  <c r="AG8" i="17" s="1"/>
  <c r="AG9" i="17" s="1"/>
  <c r="AG10" i="17" s="1"/>
  <c r="AG11" i="17" s="1"/>
  <c r="AG12" i="17" s="1"/>
  <c r="AG13" i="17" s="1"/>
  <c r="AG14" i="17" s="1"/>
  <c r="AG15" i="17" s="1"/>
  <c r="AG16" i="17" s="1"/>
  <c r="AG17" i="17" s="1"/>
  <c r="AG18" i="17" s="1"/>
  <c r="AG19" i="17" s="1"/>
  <c r="AG20" i="17" s="1"/>
  <c r="AG21" i="17" s="1"/>
  <c r="Y7" i="18"/>
  <c r="AD7" i="17"/>
  <c r="AD8" i="17" s="1"/>
  <c r="X7" i="18"/>
  <c r="X8" i="18" s="1"/>
  <c r="X9" i="18" s="1"/>
  <c r="X10" i="18" s="1"/>
  <c r="X11" i="18" s="1"/>
  <c r="X12" i="18" s="1"/>
  <c r="X13" i="18" s="1"/>
  <c r="X14" i="18" s="1"/>
  <c r="X15" i="18" s="1"/>
  <c r="X16" i="18" s="1"/>
  <c r="X17" i="18" s="1"/>
  <c r="X18" i="18" s="1"/>
  <c r="X19" i="18" s="1"/>
  <c r="X20" i="18" s="1"/>
  <c r="X21" i="18" s="1"/>
  <c r="X22" i="18" s="1"/>
  <c r="X23" i="18" s="1"/>
  <c r="X24" i="18" s="1"/>
  <c r="X25" i="18" s="1"/>
  <c r="X26" i="18" s="1"/>
  <c r="X27" i="18" s="1"/>
  <c r="X28" i="18" s="1"/>
  <c r="X29" i="18" s="1"/>
  <c r="X30" i="18" s="1"/>
  <c r="X31" i="18" s="1"/>
  <c r="X32" i="18" s="1"/>
  <c r="X33" i="18" s="1"/>
  <c r="X34" i="18" s="1"/>
  <c r="X35" i="18" s="1"/>
  <c r="X36" i="18" s="1"/>
  <c r="X37" i="18" s="1"/>
  <c r="X38" i="18" s="1"/>
  <c r="X39" i="18" s="1"/>
  <c r="X40" i="18" s="1"/>
  <c r="X41" i="18" s="1"/>
  <c r="AC7" i="17"/>
  <c r="U7" i="18"/>
  <c r="Z7" i="17"/>
  <c r="Z8" i="17" s="1"/>
  <c r="T7" i="18"/>
  <c r="T8" i="18" s="1"/>
  <c r="T9" i="18" s="1"/>
  <c r="T10" i="18" s="1"/>
  <c r="T11" i="18" s="1"/>
  <c r="T12" i="18" s="1"/>
  <c r="T13" i="18" s="1"/>
  <c r="T14" i="18" s="1"/>
  <c r="T15" i="18" s="1"/>
  <c r="T16" i="18" s="1"/>
  <c r="T17" i="18" s="1"/>
  <c r="T18" i="18" s="1"/>
  <c r="T19" i="18" s="1"/>
  <c r="T20" i="18" s="1"/>
  <c r="T21" i="18" s="1"/>
  <c r="T22" i="18" s="1"/>
  <c r="T23" i="18" s="1"/>
  <c r="T24" i="18" s="1"/>
  <c r="T25" i="18" s="1"/>
  <c r="T26" i="18" s="1"/>
  <c r="T27" i="18" s="1"/>
  <c r="T28" i="18" s="1"/>
  <c r="T29" i="18" s="1"/>
  <c r="T30" i="18" s="1"/>
  <c r="T31" i="18" s="1"/>
  <c r="T32" i="18" s="1"/>
  <c r="T33" i="18" s="1"/>
  <c r="T34" i="18" s="1"/>
  <c r="T35" i="18" s="1"/>
  <c r="T36" i="18" s="1"/>
  <c r="T37" i="18" s="1"/>
  <c r="T38" i="18" s="1"/>
  <c r="T39" i="18" s="1"/>
  <c r="T40" i="18" s="1"/>
  <c r="T41" i="18" s="1"/>
  <c r="Y7" i="17"/>
  <c r="Q7" i="18"/>
  <c r="V7" i="17"/>
  <c r="V8" i="17" s="1"/>
  <c r="P7" i="18"/>
  <c r="P8" i="18" s="1"/>
  <c r="P9" i="18" s="1"/>
  <c r="P10" i="18" s="1"/>
  <c r="P11" i="18" s="1"/>
  <c r="P12" i="18" s="1"/>
  <c r="P13" i="18" s="1"/>
  <c r="P14" i="18" s="1"/>
  <c r="P15" i="18" s="1"/>
  <c r="P16" i="18" s="1"/>
  <c r="P17" i="18" s="1"/>
  <c r="P18" i="18" s="1"/>
  <c r="P19" i="18" s="1"/>
  <c r="P20" i="18" s="1"/>
  <c r="P21" i="18" s="1"/>
  <c r="P22" i="18" s="1"/>
  <c r="P23" i="18" s="1"/>
  <c r="P24" i="18" s="1"/>
  <c r="P25" i="18" s="1"/>
  <c r="P26" i="18" s="1"/>
  <c r="P27" i="18" s="1"/>
  <c r="P28" i="18" s="1"/>
  <c r="P29" i="18" s="1"/>
  <c r="P30" i="18" s="1"/>
  <c r="P31" i="18" s="1"/>
  <c r="P32" i="18" s="1"/>
  <c r="P33" i="18" s="1"/>
  <c r="P34" i="18" s="1"/>
  <c r="P35" i="18" s="1"/>
  <c r="P36" i="18" s="1"/>
  <c r="P37" i="18" s="1"/>
  <c r="P38" i="18" s="1"/>
  <c r="P39" i="18" s="1"/>
  <c r="P40" i="18" s="1"/>
  <c r="P41" i="18" s="1"/>
  <c r="U7" i="17"/>
  <c r="U8" i="17" s="1"/>
  <c r="U9" i="17" s="1"/>
  <c r="U10" i="17" s="1"/>
  <c r="U11" i="17" s="1"/>
  <c r="U12" i="17" s="1"/>
  <c r="U13" i="17" s="1"/>
  <c r="U14" i="17" s="1"/>
  <c r="U15" i="17" s="1"/>
  <c r="U16" i="17" s="1"/>
  <c r="U17" i="17" s="1"/>
  <c r="U18" i="17" s="1"/>
  <c r="U19" i="17" s="1"/>
  <c r="U20" i="17" s="1"/>
  <c r="U21" i="17" s="1"/>
  <c r="U22" i="17" s="1"/>
  <c r="U23" i="17" s="1"/>
  <c r="U24" i="17" s="1"/>
  <c r="U25" i="17" s="1"/>
  <c r="U26" i="17" s="1"/>
  <c r="U27" i="17" s="1"/>
  <c r="U28" i="17" s="1"/>
  <c r="U29" i="17" s="1"/>
  <c r="U30" i="17" s="1"/>
  <c r="U31" i="17" s="1"/>
  <c r="U32" i="17" s="1"/>
  <c r="U33" i="17" s="1"/>
  <c r="U34" i="17" s="1"/>
  <c r="U35" i="17" s="1"/>
  <c r="U36" i="17" s="1"/>
  <c r="U37" i="17" s="1"/>
  <c r="U38" i="17" s="1"/>
  <c r="U39" i="17" s="1"/>
  <c r="U40" i="17" s="1"/>
  <c r="U41" i="17" s="1"/>
  <c r="M7" i="18"/>
  <c r="R7" i="17"/>
  <c r="L7" i="18"/>
  <c r="L8" i="18" s="1"/>
  <c r="L9" i="18" s="1"/>
  <c r="L10" i="18" s="1"/>
  <c r="L11" i="18" s="1"/>
  <c r="L12" i="18" s="1"/>
  <c r="L13" i="18" s="1"/>
  <c r="L14" i="18" s="1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L26" i="18" s="1"/>
  <c r="L27" i="18" s="1"/>
  <c r="L28" i="18" s="1"/>
  <c r="L29" i="18" s="1"/>
  <c r="L30" i="18" s="1"/>
  <c r="L31" i="18" s="1"/>
  <c r="L32" i="18" s="1"/>
  <c r="L33" i="18" s="1"/>
  <c r="L34" i="18" s="1"/>
  <c r="L35" i="18" s="1"/>
  <c r="L36" i="18" s="1"/>
  <c r="L37" i="18" s="1"/>
  <c r="L38" i="18" s="1"/>
  <c r="L39" i="18" s="1"/>
  <c r="L40" i="18" s="1"/>
  <c r="L41" i="18" s="1"/>
  <c r="Q7" i="17"/>
  <c r="I7" i="18"/>
  <c r="H7" i="18"/>
  <c r="M8" i="17"/>
  <c r="O10" i="23"/>
  <c r="O11" i="23" s="1"/>
  <c r="O12" i="23" s="1"/>
  <c r="S10" i="23"/>
  <c r="S11" i="23"/>
  <c r="S12" i="23" s="1"/>
  <c r="S13" i="23" s="1"/>
  <c r="S14" i="23" s="1"/>
  <c r="S15" i="23" s="1"/>
  <c r="S16" i="23" s="1"/>
  <c r="S17" i="23" s="1"/>
  <c r="S18" i="23" s="1"/>
  <c r="S19" i="23" s="1"/>
  <c r="S20" i="23" s="1"/>
  <c r="S21" i="23" s="1"/>
  <c r="AX10" i="23"/>
  <c r="AS10" i="23"/>
  <c r="AS11" i="23" s="1"/>
  <c r="K11" i="23"/>
  <c r="AG11" i="21"/>
  <c r="AG12" i="21" s="1"/>
  <c r="AG13" i="21" s="1"/>
  <c r="AG14" i="21" s="1"/>
  <c r="AG15" i="21" s="1"/>
  <c r="AG16" i="21" s="1"/>
  <c r="AG17" i="21" s="1"/>
  <c r="AG18" i="21" s="1"/>
  <c r="AG19" i="21" s="1"/>
  <c r="AG20" i="21" s="1"/>
  <c r="AG21" i="21" s="1"/>
  <c r="AG22" i="21" s="1"/>
  <c r="AG23" i="21" s="1"/>
  <c r="AG24" i="21" s="1"/>
  <c r="AG25" i="21" s="1"/>
  <c r="AG26" i="21" s="1"/>
  <c r="AG27" i="21" s="1"/>
  <c r="AG28" i="21" s="1"/>
  <c r="AG29" i="21" s="1"/>
  <c r="AG30" i="21" s="1"/>
  <c r="AG31" i="21" s="1"/>
  <c r="AG32" i="21" s="1"/>
  <c r="AS10" i="21"/>
  <c r="AS11" i="21" s="1"/>
  <c r="S13" i="21"/>
  <c r="AX10" i="21"/>
  <c r="O10" i="21"/>
  <c r="O11" i="21" s="1"/>
  <c r="O12" i="21" s="1"/>
  <c r="O13" i="21" s="1"/>
  <c r="O14" i="21" s="1"/>
  <c r="B7" i="18"/>
  <c r="A8" i="18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8" i="17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K12" i="23"/>
  <c r="AX11" i="23"/>
  <c r="AX12" i="23" s="1"/>
  <c r="AX13" i="23" s="1"/>
  <c r="W12" i="23"/>
  <c r="W13" i="23" s="1"/>
  <c r="W14" i="23" s="1"/>
  <c r="W15" i="23" s="1"/>
  <c r="W16" i="23" s="1"/>
  <c r="W17" i="23" s="1"/>
  <c r="W18" i="23" s="1"/>
  <c r="AP25" i="21"/>
  <c r="AP26" i="21" s="1"/>
  <c r="AP27" i="21" s="1"/>
  <c r="AP28" i="21" s="1"/>
  <c r="AP29" i="21" s="1"/>
  <c r="AP30" i="21" s="1"/>
  <c r="K12" i="21"/>
  <c r="AX11" i="21"/>
  <c r="S14" i="21"/>
  <c r="S15" i="21" s="1"/>
  <c r="S16" i="21" s="1"/>
  <c r="S17" i="21" s="1"/>
  <c r="S18" i="21" s="1"/>
  <c r="S19" i="21" s="1"/>
  <c r="AS12" i="23"/>
  <c r="AS13" i="23" s="1"/>
  <c r="AG13" i="23"/>
  <c r="O13" i="23"/>
  <c r="K13" i="23"/>
  <c r="K14" i="23" s="1"/>
  <c r="AX12" i="21"/>
  <c r="AX13" i="21" s="1"/>
  <c r="AS12" i="21"/>
  <c r="W13" i="21"/>
  <c r="K13" i="21"/>
  <c r="O14" i="23"/>
  <c r="O15" i="23" s="1"/>
  <c r="O16" i="23" s="1"/>
  <c r="O17" i="23" s="1"/>
  <c r="O18" i="23" s="1"/>
  <c r="O19" i="23" s="1"/>
  <c r="O20" i="23" s="1"/>
  <c r="O21" i="23" s="1"/>
  <c r="O22" i="23" s="1"/>
  <c r="O23" i="23" s="1"/>
  <c r="O24" i="23" s="1"/>
  <c r="AG14" i="23"/>
  <c r="AG15" i="23" s="1"/>
  <c r="AG16" i="23" s="1"/>
  <c r="K14" i="21"/>
  <c r="K15" i="21" s="1"/>
  <c r="K16" i="21" s="1"/>
  <c r="K17" i="21" s="1"/>
  <c r="K18" i="21" s="1"/>
  <c r="K19" i="21" s="1"/>
  <c r="K20" i="21" s="1"/>
  <c r="K21" i="21" s="1"/>
  <c r="K22" i="21" s="1"/>
  <c r="K23" i="21" s="1"/>
  <c r="K24" i="21" s="1"/>
  <c r="W14" i="21"/>
  <c r="AS13" i="21"/>
  <c r="AS14" i="23"/>
  <c r="AS15" i="23" s="1"/>
  <c r="AS16" i="23" s="1"/>
  <c r="AS17" i="23" s="1"/>
  <c r="K15" i="23"/>
  <c r="K16" i="23" s="1"/>
  <c r="K17" i="23" s="1"/>
  <c r="K18" i="23" s="1"/>
  <c r="K19" i="23" s="1"/>
  <c r="K20" i="23" s="1"/>
  <c r="K21" i="23" s="1"/>
  <c r="K22" i="23" s="1"/>
  <c r="K23" i="23" s="1"/>
  <c r="K24" i="23" s="1"/>
  <c r="K25" i="23" s="1"/>
  <c r="K26" i="23" s="1"/>
  <c r="K27" i="23" s="1"/>
  <c r="K28" i="23" s="1"/>
  <c r="K29" i="23" s="1"/>
  <c r="AX14" i="23"/>
  <c r="AX15" i="23" s="1"/>
  <c r="AX16" i="23" s="1"/>
  <c r="AX17" i="23" s="1"/>
  <c r="AX18" i="23" s="1"/>
  <c r="AX19" i="23" s="1"/>
  <c r="AX20" i="23" s="1"/>
  <c r="AX21" i="23" s="1"/>
  <c r="AX22" i="23" s="1"/>
  <c r="AX23" i="23" s="1"/>
  <c r="AX24" i="23" s="1"/>
  <c r="AX25" i="23" s="1"/>
  <c r="AX26" i="23" s="1"/>
  <c r="AX27" i="23" s="1"/>
  <c r="AX28" i="23" s="1"/>
  <c r="AX29" i="23" s="1"/>
  <c r="AX30" i="23" s="1"/>
  <c r="AX31" i="23" s="1"/>
  <c r="AX32" i="23" s="1"/>
  <c r="AX33" i="23" s="1"/>
  <c r="AX34" i="23" s="1"/>
  <c r="AX35" i="23" s="1"/>
  <c r="AX36" i="23" s="1"/>
  <c r="AX37" i="23" s="1"/>
  <c r="AX38" i="23" s="1"/>
  <c r="AX39" i="23" s="1"/>
  <c r="AX40" i="23" s="1"/>
  <c r="AX41" i="23" s="1"/>
  <c r="AX14" i="21"/>
  <c r="AX15" i="21" s="1"/>
  <c r="AX16" i="21" s="1"/>
  <c r="AS14" i="21"/>
  <c r="AS15" i="21" s="1"/>
  <c r="W15" i="21"/>
  <c r="W16" i="21" s="1"/>
  <c r="W17" i="21" s="1"/>
  <c r="W18" i="21" s="1"/>
  <c r="W19" i="21" s="1"/>
  <c r="O15" i="21"/>
  <c r="AG17" i="23"/>
  <c r="AS16" i="21"/>
  <c r="AS17" i="21" s="1"/>
  <c r="AS18" i="21" s="1"/>
  <c r="O16" i="21"/>
  <c r="O17" i="21" s="1"/>
  <c r="O18" i="21" s="1"/>
  <c r="O19" i="21" s="1"/>
  <c r="AG18" i="23"/>
  <c r="AG19" i="23" s="1"/>
  <c r="AG20" i="23" s="1"/>
  <c r="AG21" i="23" s="1"/>
  <c r="AG22" i="23" s="1"/>
  <c r="AG23" i="23" s="1"/>
  <c r="AG24" i="23" s="1"/>
  <c r="AG25" i="23" s="1"/>
  <c r="AG26" i="23" s="1"/>
  <c r="AG27" i="23" s="1"/>
  <c r="AG28" i="23" s="1"/>
  <c r="AG29" i="23" s="1"/>
  <c r="AG30" i="23" s="1"/>
  <c r="AG31" i="23" s="1"/>
  <c r="AG32" i="23" s="1"/>
  <c r="AG33" i="23" s="1"/>
  <c r="AG34" i="23" s="1"/>
  <c r="AG35" i="23" s="1"/>
  <c r="AX17" i="21"/>
  <c r="AX18" i="21" s="1"/>
  <c r="AX19" i="21" s="1"/>
  <c r="AX20" i="21" s="1"/>
  <c r="AX21" i="21" s="1"/>
  <c r="AX22" i="21" s="1"/>
  <c r="AX23" i="21" s="1"/>
  <c r="S20" i="21"/>
  <c r="AP31" i="21"/>
  <c r="AP32" i="21" s="1"/>
  <c r="W19" i="23"/>
  <c r="W20" i="23" s="1"/>
  <c r="W21" i="23" s="1"/>
  <c r="W22" i="23" s="1"/>
  <c r="W23" i="23" s="1"/>
  <c r="W24" i="23" s="1"/>
  <c r="W25" i="23" s="1"/>
  <c r="W26" i="23" s="1"/>
  <c r="W27" i="23" s="1"/>
  <c r="W28" i="23" s="1"/>
  <c r="W29" i="23" s="1"/>
  <c r="W30" i="23" s="1"/>
  <c r="W31" i="23" s="1"/>
  <c r="W32" i="23" s="1"/>
  <c r="W33" i="23" s="1"/>
  <c r="W34" i="23" s="1"/>
  <c r="W35" i="23" s="1"/>
  <c r="W36" i="23" s="1"/>
  <c r="W37" i="23" s="1"/>
  <c r="AS18" i="23"/>
  <c r="AS19" i="23" s="1"/>
  <c r="AS20" i="23" s="1"/>
  <c r="AS21" i="23" s="1"/>
  <c r="AS22" i="23" s="1"/>
  <c r="AS23" i="23" s="1"/>
  <c r="AS24" i="23" s="1"/>
  <c r="AS25" i="23" s="1"/>
  <c r="AS26" i="23" s="1"/>
  <c r="AS27" i="23" s="1"/>
  <c r="AS28" i="23" s="1"/>
  <c r="AS29" i="23" s="1"/>
  <c r="AS30" i="23" s="1"/>
  <c r="AS31" i="23" s="1"/>
  <c r="AS32" i="23" s="1"/>
  <c r="AS33" i="23" s="1"/>
  <c r="AS34" i="23" s="1"/>
  <c r="AS35" i="23" s="1"/>
  <c r="AS36" i="23" s="1"/>
  <c r="AS37" i="23" s="1"/>
  <c r="AS38" i="23" s="1"/>
  <c r="AS39" i="23" s="1"/>
  <c r="AS40" i="23" s="1"/>
  <c r="AS41" i="23" s="1"/>
  <c r="S21" i="21"/>
  <c r="S22" i="21" s="1"/>
  <c r="S23" i="21" s="1"/>
  <c r="S24" i="21" s="1"/>
  <c r="S25" i="21" s="1"/>
  <c r="S26" i="21" s="1"/>
  <c r="S27" i="21" s="1"/>
  <c r="S28" i="21" s="1"/>
  <c r="AP33" i="21"/>
  <c r="AP34" i="21" s="1"/>
  <c r="AP35" i="21" s="1"/>
  <c r="AP36" i="21" s="1"/>
  <c r="AP37" i="21" s="1"/>
  <c r="AP38" i="21" s="1"/>
  <c r="AP39" i="21" s="1"/>
  <c r="AP40" i="21" s="1"/>
  <c r="AP41" i="21" s="1"/>
  <c r="W20" i="21"/>
  <c r="W21" i="21" s="1"/>
  <c r="W22" i="21" s="1"/>
  <c r="W23" i="21" s="1"/>
  <c r="W24" i="21" s="1"/>
  <c r="W25" i="21" s="1"/>
  <c r="W26" i="21" s="1"/>
  <c r="W27" i="21" s="1"/>
  <c r="W28" i="21" s="1"/>
  <c r="W29" i="21" s="1"/>
  <c r="W30" i="21" s="1"/>
  <c r="W31" i="21" s="1"/>
  <c r="W32" i="21" s="1"/>
  <c r="W33" i="21" s="1"/>
  <c r="W34" i="21" s="1"/>
  <c r="W35" i="21" s="1"/>
  <c r="W36" i="21" s="1"/>
  <c r="W37" i="21" s="1"/>
  <c r="W38" i="21" s="1"/>
  <c r="W39" i="21" s="1"/>
  <c r="W40" i="21" s="1"/>
  <c r="W41" i="21" s="1"/>
  <c r="AS19" i="21"/>
  <c r="AS20" i="21" s="1"/>
  <c r="AS21" i="21" s="1"/>
  <c r="AS22" i="21" s="1"/>
  <c r="O20" i="21"/>
  <c r="O21" i="21" s="1"/>
  <c r="O22" i="21" s="1"/>
  <c r="O23" i="21" s="1"/>
  <c r="S22" i="23"/>
  <c r="S23" i="23" s="1"/>
  <c r="S24" i="23" s="1"/>
  <c r="S25" i="23" s="1"/>
  <c r="S26" i="23" s="1"/>
  <c r="S27" i="23" s="1"/>
  <c r="S28" i="23" s="1"/>
  <c r="S29" i="23" s="1"/>
  <c r="S30" i="23" s="1"/>
  <c r="S31" i="23" s="1"/>
  <c r="S32" i="23" s="1"/>
  <c r="S33" i="23" s="1"/>
  <c r="S34" i="23" s="1"/>
  <c r="S35" i="23" s="1"/>
  <c r="S36" i="23" s="1"/>
  <c r="S37" i="23" s="1"/>
  <c r="S38" i="23" s="1"/>
  <c r="S39" i="23" s="1"/>
  <c r="AS23" i="21"/>
  <c r="AS24" i="21" s="1"/>
  <c r="AS25" i="21" s="1"/>
  <c r="AS26" i="21" s="1"/>
  <c r="AS27" i="21" s="1"/>
  <c r="AS28" i="21" s="1"/>
  <c r="AS29" i="21" s="1"/>
  <c r="AS30" i="21" s="1"/>
  <c r="AS31" i="21" s="1"/>
  <c r="AS32" i="21" s="1"/>
  <c r="AS33" i="21" s="1"/>
  <c r="AS34" i="21" s="1"/>
  <c r="AS35" i="21" s="1"/>
  <c r="AS36" i="21" s="1"/>
  <c r="AS37" i="21" s="1"/>
  <c r="AS38" i="21" s="1"/>
  <c r="AS39" i="21" s="1"/>
  <c r="AS40" i="21" s="1"/>
  <c r="AS41" i="21" s="1"/>
  <c r="O25" i="23"/>
  <c r="O26" i="23" s="1"/>
  <c r="O24" i="21"/>
  <c r="O25" i="21" s="1"/>
  <c r="O26" i="21" s="1"/>
  <c r="O27" i="21" s="1"/>
  <c r="O28" i="21" s="1"/>
  <c r="O29" i="21" s="1"/>
  <c r="O30" i="21" s="1"/>
  <c r="O31" i="21" s="1"/>
  <c r="O32" i="21" s="1"/>
  <c r="O33" i="21" s="1"/>
  <c r="O34" i="21" s="1"/>
  <c r="O35" i="21" s="1"/>
  <c r="K25" i="21"/>
  <c r="K26" i="21" s="1"/>
  <c r="K27" i="21" s="1"/>
  <c r="K28" i="21" s="1"/>
  <c r="K29" i="21" s="1"/>
  <c r="K30" i="21" s="1"/>
  <c r="K31" i="21" s="1"/>
  <c r="K32" i="21" s="1"/>
  <c r="K33" i="21" s="1"/>
  <c r="K34" i="21" s="1"/>
  <c r="K35" i="21" s="1"/>
  <c r="K36" i="21" s="1"/>
  <c r="K37" i="21" s="1"/>
  <c r="K38" i="21" s="1"/>
  <c r="K39" i="21" s="1"/>
  <c r="AX24" i="21"/>
  <c r="AX25" i="21" s="1"/>
  <c r="AX26" i="21" s="1"/>
  <c r="AX27" i="21" s="1"/>
  <c r="AX28" i="21" s="1"/>
  <c r="AX29" i="21" s="1"/>
  <c r="O27" i="23"/>
  <c r="O28" i="23" s="1"/>
  <c r="O29" i="23" s="1"/>
  <c r="O30" i="23" s="1"/>
  <c r="O31" i="23" s="1"/>
  <c r="O32" i="23" s="1"/>
  <c r="O33" i="23" s="1"/>
  <c r="O34" i="23" s="1"/>
  <c r="O35" i="23" s="1"/>
  <c r="O36" i="23" s="1"/>
  <c r="O37" i="23" s="1"/>
  <c r="O38" i="23" s="1"/>
  <c r="S29" i="21"/>
  <c r="S30" i="21" s="1"/>
  <c r="S31" i="21" s="1"/>
  <c r="S32" i="21" s="1"/>
  <c r="S33" i="21" s="1"/>
  <c r="S34" i="21" s="1"/>
  <c r="S35" i="21" s="1"/>
  <c r="S36" i="21" s="1"/>
  <c r="S37" i="21" s="1"/>
  <c r="S38" i="21" s="1"/>
  <c r="S39" i="21" s="1"/>
  <c r="S40" i="21" s="1"/>
  <c r="S41" i="21" s="1"/>
  <c r="K30" i="23"/>
  <c r="K31" i="23" s="1"/>
  <c r="K32" i="23" s="1"/>
  <c r="K33" i="23" s="1"/>
  <c r="K34" i="23" s="1"/>
  <c r="K35" i="23" s="1"/>
  <c r="K36" i="23" s="1"/>
  <c r="K37" i="23" s="1"/>
  <c r="K38" i="23" s="1"/>
  <c r="K39" i="23" s="1"/>
  <c r="K40" i="23" s="1"/>
  <c r="K41" i="23" s="1"/>
  <c r="AX30" i="21"/>
  <c r="AX31" i="21"/>
  <c r="AX32" i="21" s="1"/>
  <c r="AX33" i="21" s="1"/>
  <c r="AX34" i="21" s="1"/>
  <c r="AX35" i="21" s="1"/>
  <c r="AX36" i="21" s="1"/>
  <c r="AX37" i="21" s="1"/>
  <c r="AX38" i="21" s="1"/>
  <c r="AX39" i="21" s="1"/>
  <c r="AX40" i="21" s="1"/>
  <c r="AX41" i="21" s="1"/>
  <c r="AG33" i="21"/>
  <c r="AG34" i="21" s="1"/>
  <c r="AG35" i="21"/>
  <c r="AG36" i="21" s="1"/>
  <c r="AG37" i="21" s="1"/>
  <c r="AG38" i="21" s="1"/>
  <c r="AG39" i="21" s="1"/>
  <c r="AG40" i="21" s="1"/>
  <c r="AG36" i="23"/>
  <c r="AG37" i="23" s="1"/>
  <c r="AG38" i="23" s="1"/>
  <c r="AG39" i="23" s="1"/>
  <c r="AG40" i="23" s="1"/>
  <c r="AG41" i="23" s="1"/>
  <c r="O36" i="21"/>
  <c r="O37" i="21" s="1"/>
  <c r="O38" i="21" s="1"/>
  <c r="O39" i="21" s="1"/>
  <c r="O40" i="21" s="1"/>
  <c r="O41" i="21" s="1"/>
  <c r="W38" i="23"/>
  <c r="W39" i="23" s="1"/>
  <c r="W40" i="23" s="1"/>
  <c r="W41" i="23" s="1"/>
  <c r="O39" i="23"/>
  <c r="O40" i="23" s="1"/>
  <c r="O41" i="23" s="1"/>
  <c r="S40" i="23"/>
  <c r="S41" i="23" s="1"/>
  <c r="K40" i="21"/>
  <c r="K41" i="21" s="1"/>
  <c r="AG41" i="21"/>
  <c r="B6" i="1"/>
  <c r="AU6" i="1"/>
  <c r="AU7" i="1" s="1"/>
  <c r="AU8" i="1" s="1"/>
  <c r="AU9" i="1" s="1"/>
  <c r="AU10" i="1" s="1"/>
  <c r="AU11" i="1" s="1"/>
  <c r="AU12" i="1" s="1"/>
  <c r="AU13" i="1" s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X6" i="1"/>
  <c r="AX7" i="1" s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BA6" i="1"/>
  <c r="AN7" i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M6" i="1"/>
  <c r="AM7" i="1" s="1"/>
  <c r="AO5" i="1"/>
  <c r="D15" i="39" s="1"/>
  <c r="Y6" i="1"/>
  <c r="X6" i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Z5" i="1"/>
  <c r="D11" i="39" s="1"/>
  <c r="AF7" i="1"/>
  <c r="AR6" i="1"/>
  <c r="AR7" i="1" s="1"/>
  <c r="AR8" i="1" s="1"/>
  <c r="AR9" i="1" s="1"/>
  <c r="AQ6" i="1"/>
  <c r="AQ7" i="1" s="1"/>
  <c r="AQ8" i="1" s="1"/>
  <c r="AQ9" i="1" s="1"/>
  <c r="AQ10" i="1" s="1"/>
  <c r="AS5" i="1"/>
  <c r="D16" i="39" s="1"/>
  <c r="AI6" i="1"/>
  <c r="AI7" i="1" s="1"/>
  <c r="AI8" i="1" s="1"/>
  <c r="AK5" i="1"/>
  <c r="D14" i="39" s="1"/>
  <c r="Q6" i="1"/>
  <c r="Q7" i="1" s="1"/>
  <c r="Q8" i="1" s="1"/>
  <c r="Q9" i="1" s="1"/>
  <c r="P6" i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R5" i="1"/>
  <c r="D9" i="39" s="1"/>
  <c r="U6" i="1"/>
  <c r="M6" i="1"/>
  <c r="M7" i="1" s="1"/>
  <c r="M8" i="1" s="1"/>
  <c r="I6" i="1"/>
  <c r="I7" i="1" s="1"/>
  <c r="AB6" i="1"/>
  <c r="AE6" i="1"/>
  <c r="D13" i="39"/>
  <c r="T6" i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V5" i="1"/>
  <c r="D10" i="39" s="1"/>
  <c r="L6" i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5" i="1"/>
  <c r="D8" i="39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J5" i="1"/>
  <c r="H6" i="1"/>
  <c r="J6" i="1" s="1"/>
  <c r="BH7" i="21" l="1"/>
  <c r="AA4" i="16" s="1"/>
  <c r="R8" i="17"/>
  <c r="R9" i="17" s="1"/>
  <c r="R10" i="17" s="1"/>
  <c r="A22" i="17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M9" i="17"/>
  <c r="BK14" i="23"/>
  <c r="BJ22" i="23"/>
  <c r="BK26" i="23"/>
  <c r="BK38" i="23"/>
  <c r="BJ10" i="23"/>
  <c r="BK10" i="23"/>
  <c r="AS7" i="18"/>
  <c r="BK34" i="23"/>
  <c r="BK22" i="23"/>
  <c r="D7" i="39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C6" i="1"/>
  <c r="C6" i="1"/>
  <c r="AL7" i="17"/>
  <c r="AE7" i="17"/>
  <c r="AE7" i="1"/>
  <c r="AG6" i="1"/>
  <c r="AR10" i="1"/>
  <c r="AR11" i="1" s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R28" i="1" s="1"/>
  <c r="AR29" i="1" s="1"/>
  <c r="AR30" i="1" s="1"/>
  <c r="AR31" i="1" s="1"/>
  <c r="AR32" i="1" s="1"/>
  <c r="AR33" i="1" s="1"/>
  <c r="AR34" i="1" s="1"/>
  <c r="AR35" i="1" s="1"/>
  <c r="AR36" i="1" s="1"/>
  <c r="AR37" i="1" s="1"/>
  <c r="AR38" i="1" s="1"/>
  <c r="AR39" i="1" s="1"/>
  <c r="H8" i="18"/>
  <c r="H9" i="18" s="1"/>
  <c r="H10" i="18" s="1"/>
  <c r="H11" i="18" s="1"/>
  <c r="H12" i="18" s="1"/>
  <c r="H13" i="18" s="1"/>
  <c r="H14" i="18" s="1"/>
  <c r="H15" i="18" s="1"/>
  <c r="H16" i="18" s="1"/>
  <c r="H17" i="18" s="1"/>
  <c r="H18" i="18" s="1"/>
  <c r="H19" i="18" s="1"/>
  <c r="H20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H36" i="18" s="1"/>
  <c r="H37" i="18" s="1"/>
  <c r="H38" i="18" s="1"/>
  <c r="H39" i="18" s="1"/>
  <c r="H40" i="18" s="1"/>
  <c r="H41" i="18" s="1"/>
  <c r="J7" i="18"/>
  <c r="BJ23" i="23"/>
  <c r="BJ18" i="23"/>
  <c r="BJ38" i="23"/>
  <c r="BJ14" i="23"/>
  <c r="BJ30" i="23"/>
  <c r="BJ35" i="23"/>
  <c r="BJ15" i="23"/>
  <c r="BJ31" i="23"/>
  <c r="AQ8" i="18"/>
  <c r="AQ9" i="18" s="1"/>
  <c r="AQ10" i="18" s="1"/>
  <c r="BJ13" i="23"/>
  <c r="BK19" i="23"/>
  <c r="BJ33" i="23"/>
  <c r="BJ11" i="23"/>
  <c r="BK27" i="23"/>
  <c r="BJ41" i="23"/>
  <c r="BJ19" i="23"/>
  <c r="BJ9" i="23"/>
  <c r="R7" i="18"/>
  <c r="Z7" i="18"/>
  <c r="BK15" i="23"/>
  <c r="BJ39" i="23"/>
  <c r="BJ29" i="23"/>
  <c r="BK35" i="23"/>
  <c r="BJ27" i="23"/>
  <c r="BJ17" i="23"/>
  <c r="BJ37" i="23"/>
  <c r="BJ25" i="23"/>
  <c r="AJ8" i="17"/>
  <c r="AJ9" i="17" s="1"/>
  <c r="AJ10" i="17" s="1"/>
  <c r="AJ11" i="17" s="1"/>
  <c r="AJ12" i="17" s="1"/>
  <c r="AJ13" i="17" s="1"/>
  <c r="AJ14" i="17" s="1"/>
  <c r="AJ15" i="17" s="1"/>
  <c r="AJ16" i="17" s="1"/>
  <c r="AJ17" i="17" s="1"/>
  <c r="AJ18" i="17" s="1"/>
  <c r="AJ19" i="17" s="1"/>
  <c r="AJ20" i="17" s="1"/>
  <c r="AJ21" i="17" s="1"/>
  <c r="AJ22" i="17" s="1"/>
  <c r="AJ23" i="17" s="1"/>
  <c r="AJ24" i="17" s="1"/>
  <c r="AJ25" i="17" s="1"/>
  <c r="AJ26" i="17" s="1"/>
  <c r="AJ27" i="17" s="1"/>
  <c r="AJ28" i="17" s="1"/>
  <c r="AJ29" i="17" s="1"/>
  <c r="AJ30" i="17" s="1"/>
  <c r="AJ31" i="17" s="1"/>
  <c r="AJ32" i="17" s="1"/>
  <c r="AJ33" i="17" s="1"/>
  <c r="AJ34" i="17" s="1"/>
  <c r="AJ35" i="17" s="1"/>
  <c r="AJ36" i="17" s="1"/>
  <c r="AJ37" i="17" s="1"/>
  <c r="AJ38" i="17" s="1"/>
  <c r="AJ39" i="17" s="1"/>
  <c r="AJ40" i="17" s="1"/>
  <c r="AJ41" i="17" s="1"/>
  <c r="AP7" i="17"/>
  <c r="E10" i="62" s="1"/>
  <c r="AC8" i="17"/>
  <c r="AC9" i="17" s="1"/>
  <c r="AC10" i="17" s="1"/>
  <c r="AC11" i="17" s="1"/>
  <c r="AC12" i="17" s="1"/>
  <c r="AC13" i="17" s="1"/>
  <c r="AC14" i="17" s="1"/>
  <c r="AC15" i="17" s="1"/>
  <c r="AC16" i="17" s="1"/>
  <c r="AC17" i="17" s="1"/>
  <c r="AC18" i="17" s="1"/>
  <c r="AC19" i="17" s="1"/>
  <c r="AC20" i="17" s="1"/>
  <c r="AC21" i="17" s="1"/>
  <c r="AC22" i="17" s="1"/>
  <c r="AC23" i="17" s="1"/>
  <c r="AC24" i="17" s="1"/>
  <c r="AC25" i="17" s="1"/>
  <c r="AC26" i="17" s="1"/>
  <c r="AC27" i="17" s="1"/>
  <c r="AC28" i="17" s="1"/>
  <c r="AC29" i="17" s="1"/>
  <c r="AC30" i="17" s="1"/>
  <c r="AC31" i="17" s="1"/>
  <c r="AC32" i="17" s="1"/>
  <c r="AC33" i="17" s="1"/>
  <c r="AC34" i="17" s="1"/>
  <c r="AC35" i="17" s="1"/>
  <c r="AC36" i="17" s="1"/>
  <c r="AC37" i="17" s="1"/>
  <c r="AC38" i="17" s="1"/>
  <c r="AC39" i="17" s="1"/>
  <c r="AC40" i="17" s="1"/>
  <c r="AC41" i="17" s="1"/>
  <c r="BA7" i="1"/>
  <c r="AB7" i="1"/>
  <c r="W7" i="17"/>
  <c r="BJ12" i="23"/>
  <c r="BJ12" i="44"/>
  <c r="BJ20" i="23"/>
  <c r="BJ20" i="44"/>
  <c r="BJ28" i="23"/>
  <c r="BJ28" i="44"/>
  <c r="BK8" i="23"/>
  <c r="AQ8" i="23" s="1"/>
  <c r="AQ9" i="23" s="1"/>
  <c r="BK8" i="44"/>
  <c r="BK12" i="23"/>
  <c r="BK12" i="44"/>
  <c r="BK20" i="23"/>
  <c r="BK20" i="44"/>
  <c r="BK24" i="23"/>
  <c r="BK24" i="44"/>
  <c r="BK28" i="23"/>
  <c r="BK28" i="44"/>
  <c r="BK32" i="23"/>
  <c r="BK32" i="44"/>
  <c r="BK40" i="23"/>
  <c r="BK40" i="44"/>
  <c r="AG7" i="18"/>
  <c r="BJ16" i="23"/>
  <c r="BJ16" i="44"/>
  <c r="BJ40" i="23"/>
  <c r="BJ40" i="44"/>
  <c r="BK16" i="23"/>
  <c r="BK16" i="44"/>
  <c r="BK36" i="23"/>
  <c r="BK36" i="44"/>
  <c r="BJ36" i="23"/>
  <c r="BJ36" i="44"/>
  <c r="BJ24" i="23"/>
  <c r="BJ24" i="44"/>
  <c r="BJ7" i="23"/>
  <c r="BJ7" i="44"/>
  <c r="BJ8" i="23"/>
  <c r="AM8" i="23" s="1"/>
  <c r="AN8" i="23" s="1"/>
  <c r="BJ8" i="44"/>
  <c r="BJ32" i="23"/>
  <c r="BJ32" i="44"/>
  <c r="AM8" i="21"/>
  <c r="Z6" i="1"/>
  <c r="AK7" i="18"/>
  <c r="N7" i="18"/>
  <c r="AR8" i="18"/>
  <c r="AR9" i="18" s="1"/>
  <c r="AR10" i="18" s="1"/>
  <c r="AR11" i="18" s="1"/>
  <c r="AR12" i="18" s="1"/>
  <c r="AR13" i="18" s="1"/>
  <c r="AR14" i="18" s="1"/>
  <c r="AR15" i="18" s="1"/>
  <c r="AR16" i="18" s="1"/>
  <c r="AR17" i="18" s="1"/>
  <c r="AR18" i="18" s="1"/>
  <c r="AR19" i="18" s="1"/>
  <c r="AR20" i="18" s="1"/>
  <c r="AR21" i="18" s="1"/>
  <c r="AR22" i="18" s="1"/>
  <c r="AR23" i="18" s="1"/>
  <c r="AR24" i="18" s="1"/>
  <c r="AR25" i="18" s="1"/>
  <c r="AR26" i="18" s="1"/>
  <c r="AR27" i="18" s="1"/>
  <c r="AR28" i="18" s="1"/>
  <c r="AR29" i="18" s="1"/>
  <c r="AR30" i="18" s="1"/>
  <c r="AR31" i="18" s="1"/>
  <c r="AR32" i="18" s="1"/>
  <c r="AR33" i="18" s="1"/>
  <c r="AR34" i="18" s="1"/>
  <c r="AR35" i="18" s="1"/>
  <c r="AR36" i="18" s="1"/>
  <c r="AR37" i="18" s="1"/>
  <c r="AR38" i="18" s="1"/>
  <c r="AR39" i="18" s="1"/>
  <c r="AR40" i="18" s="1"/>
  <c r="AR41" i="18" s="1"/>
  <c r="AP8" i="17"/>
  <c r="BA8" i="18"/>
  <c r="BA9" i="18" s="1"/>
  <c r="BA10" i="18" s="1"/>
  <c r="BA11" i="18" s="1"/>
  <c r="BA12" i="18" s="1"/>
  <c r="BA13" i="18" s="1"/>
  <c r="BA14" i="18" s="1"/>
  <c r="BA15" i="18" s="1"/>
  <c r="BA16" i="18" s="1"/>
  <c r="BA17" i="18" s="1"/>
  <c r="BA18" i="18" s="1"/>
  <c r="BA19" i="18" s="1"/>
  <c r="BA20" i="18" s="1"/>
  <c r="BA21" i="18" s="1"/>
  <c r="AJ8" i="18"/>
  <c r="AK8" i="18" s="1"/>
  <c r="R7" i="1"/>
  <c r="AX8" i="18"/>
  <c r="AX9" i="18" s="1"/>
  <c r="AX10" i="18" s="1"/>
  <c r="AX11" i="18" s="1"/>
  <c r="AX12" i="18" s="1"/>
  <c r="AX13" i="18" s="1"/>
  <c r="AX14" i="18" s="1"/>
  <c r="AX15" i="18" s="1"/>
  <c r="AX16" i="18" s="1"/>
  <c r="AX17" i="18" s="1"/>
  <c r="AX18" i="18" s="1"/>
  <c r="AX19" i="18" s="1"/>
  <c r="AX20" i="18" s="1"/>
  <c r="AX21" i="18" s="1"/>
  <c r="AX22" i="18" s="1"/>
  <c r="AX23" i="18" s="1"/>
  <c r="AX24" i="18" s="1"/>
  <c r="AX25" i="18" s="1"/>
  <c r="AX26" i="18" s="1"/>
  <c r="AX27" i="18" s="1"/>
  <c r="AX28" i="18" s="1"/>
  <c r="AX29" i="18" s="1"/>
  <c r="AX30" i="18" s="1"/>
  <c r="AX31" i="18" s="1"/>
  <c r="AX32" i="18" s="1"/>
  <c r="AX33" i="18" s="1"/>
  <c r="AX34" i="18" s="1"/>
  <c r="AX35" i="18" s="1"/>
  <c r="AX36" i="18" s="1"/>
  <c r="AX37" i="18" s="1"/>
  <c r="AX38" i="18" s="1"/>
  <c r="AX39" i="18" s="1"/>
  <c r="AX40" i="18" s="1"/>
  <c r="AX41" i="18" s="1"/>
  <c r="AU8" i="18"/>
  <c r="AU9" i="18" s="1"/>
  <c r="AU10" i="18" s="1"/>
  <c r="AU11" i="18" s="1"/>
  <c r="AU12" i="18" s="1"/>
  <c r="AU13" i="18" s="1"/>
  <c r="AU14" i="18" s="1"/>
  <c r="AU15" i="18" s="1"/>
  <c r="AU16" i="18" s="1"/>
  <c r="AU17" i="18" s="1"/>
  <c r="AU18" i="18" s="1"/>
  <c r="AU19" i="18" s="1"/>
  <c r="AU20" i="18" s="1"/>
  <c r="AU21" i="18" s="1"/>
  <c r="AU22" i="18" s="1"/>
  <c r="AU23" i="18" s="1"/>
  <c r="AU24" i="18" s="1"/>
  <c r="AU25" i="18" s="1"/>
  <c r="AU26" i="18" s="1"/>
  <c r="AU27" i="18" s="1"/>
  <c r="AU28" i="18" s="1"/>
  <c r="AU29" i="18" s="1"/>
  <c r="AU30" i="18" s="1"/>
  <c r="AU31" i="18" s="1"/>
  <c r="AU32" i="18" s="1"/>
  <c r="AU33" i="18" s="1"/>
  <c r="AU34" i="18" s="1"/>
  <c r="AU35" i="18" s="1"/>
  <c r="AU36" i="18" s="1"/>
  <c r="AU37" i="18" s="1"/>
  <c r="AU38" i="18" s="1"/>
  <c r="AU39" i="18" s="1"/>
  <c r="AU40" i="18" s="1"/>
  <c r="AU41" i="18" s="1"/>
  <c r="N6" i="1"/>
  <c r="AS8" i="1"/>
  <c r="AT8" i="21"/>
  <c r="AU8" i="21" s="1"/>
  <c r="AM8" i="1"/>
  <c r="AO7" i="1"/>
  <c r="AS10" i="1"/>
  <c r="AQ11" i="1"/>
  <c r="AJ7" i="1"/>
  <c r="AK6" i="1"/>
  <c r="AO6" i="1"/>
  <c r="AS9" i="1"/>
  <c r="AS7" i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AI9" i="1"/>
  <c r="AS6" i="1"/>
  <c r="V6" i="1"/>
  <c r="S7" i="17"/>
  <c r="Q8" i="17"/>
  <c r="Q9" i="17" s="1"/>
  <c r="Q10" i="17" s="1"/>
  <c r="Q11" i="17" s="1"/>
  <c r="Q12" i="17" s="1"/>
  <c r="Q13" i="17" s="1"/>
  <c r="Q14" i="17" s="1"/>
  <c r="Q15" i="17" s="1"/>
  <c r="Q16" i="17" s="1"/>
  <c r="Q17" i="17" s="1"/>
  <c r="Q18" i="17" s="1"/>
  <c r="Q19" i="17" s="1"/>
  <c r="Q20" i="17" s="1"/>
  <c r="Q21" i="17" s="1"/>
  <c r="Q22" i="17" s="1"/>
  <c r="Q23" i="17" s="1"/>
  <c r="Q24" i="17" s="1"/>
  <c r="Q25" i="17" s="1"/>
  <c r="Q26" i="17" s="1"/>
  <c r="Q27" i="17" s="1"/>
  <c r="Q28" i="17" s="1"/>
  <c r="Q29" i="17" s="1"/>
  <c r="Q30" i="17" s="1"/>
  <c r="Q31" i="17" s="1"/>
  <c r="Q32" i="17" s="1"/>
  <c r="Q33" i="17" s="1"/>
  <c r="Q34" i="17" s="1"/>
  <c r="Q35" i="17" s="1"/>
  <c r="Q36" i="17" s="1"/>
  <c r="Q37" i="17" s="1"/>
  <c r="Q38" i="17" s="1"/>
  <c r="Q39" i="17" s="1"/>
  <c r="Q40" i="17" s="1"/>
  <c r="Q41" i="17" s="1"/>
  <c r="AA7" i="17"/>
  <c r="Y8" i="17"/>
  <c r="Y9" i="17" s="1"/>
  <c r="Y10" i="17" s="1"/>
  <c r="Y11" i="17" s="1"/>
  <c r="Y12" i="17" s="1"/>
  <c r="Y13" i="17" s="1"/>
  <c r="Y14" i="17" s="1"/>
  <c r="Y15" i="17" s="1"/>
  <c r="Y16" i="17" s="1"/>
  <c r="Y17" i="17" s="1"/>
  <c r="Y18" i="17" s="1"/>
  <c r="Y19" i="17" s="1"/>
  <c r="Y20" i="17" s="1"/>
  <c r="Y21" i="17" s="1"/>
  <c r="Y22" i="17" s="1"/>
  <c r="Y23" i="17" s="1"/>
  <c r="Y24" i="17" s="1"/>
  <c r="Y25" i="17" s="1"/>
  <c r="Y26" i="17" s="1"/>
  <c r="Y27" i="17" s="1"/>
  <c r="Y28" i="17" s="1"/>
  <c r="Y29" i="17" s="1"/>
  <c r="Y30" i="17" s="1"/>
  <c r="Y31" i="17" s="1"/>
  <c r="Y32" i="17" s="1"/>
  <c r="Y33" i="17" s="1"/>
  <c r="Y34" i="17" s="1"/>
  <c r="Y35" i="17" s="1"/>
  <c r="Y36" i="17" s="1"/>
  <c r="Y37" i="17" s="1"/>
  <c r="Y38" i="17" s="1"/>
  <c r="Y39" i="17" s="1"/>
  <c r="Y40" i="17" s="1"/>
  <c r="Y41" i="17" s="1"/>
  <c r="AR8" i="17"/>
  <c r="AT7" i="17"/>
  <c r="AV8" i="17"/>
  <c r="AV9" i="17" s="1"/>
  <c r="AV10" i="17" s="1"/>
  <c r="AV11" i="17" s="1"/>
  <c r="AV12" i="17" s="1"/>
  <c r="AV13" i="17" s="1"/>
  <c r="AV14" i="17" s="1"/>
  <c r="AV15" i="17" s="1"/>
  <c r="AV16" i="17" s="1"/>
  <c r="AV17" i="17" s="1"/>
  <c r="AV18" i="17" s="1"/>
  <c r="AV19" i="17" s="1"/>
  <c r="AV20" i="17" s="1"/>
  <c r="AV21" i="17" s="1"/>
  <c r="AV22" i="17" s="1"/>
  <c r="AV23" i="17" s="1"/>
  <c r="AV24" i="17" s="1"/>
  <c r="AV25" i="17" s="1"/>
  <c r="AV26" i="17" s="1"/>
  <c r="AV27" i="17" s="1"/>
  <c r="AV28" i="17" s="1"/>
  <c r="AV29" i="17" s="1"/>
  <c r="AV30" i="17" s="1"/>
  <c r="AV31" i="17" s="1"/>
  <c r="AV32" i="17" s="1"/>
  <c r="AV33" i="17" s="1"/>
  <c r="AV34" i="17" s="1"/>
  <c r="AV35" i="17" s="1"/>
  <c r="AV36" i="17" s="1"/>
  <c r="AV37" i="17" s="1"/>
  <c r="AV38" i="17" s="1"/>
  <c r="AV39" i="17" s="1"/>
  <c r="AV40" i="17" s="1"/>
  <c r="AV41" i="17" s="1"/>
  <c r="AX7" i="17"/>
  <c r="AM13" i="18"/>
  <c r="E41" i="23"/>
  <c r="AI11" i="18"/>
  <c r="U8" i="18"/>
  <c r="V8" i="18" s="1"/>
  <c r="V7" i="18"/>
  <c r="AN8" i="18"/>
  <c r="AO7" i="18"/>
  <c r="AY8" i="21"/>
  <c r="AQ8" i="21"/>
  <c r="H14" i="39"/>
  <c r="AV7" i="21"/>
  <c r="AL10" i="21"/>
  <c r="AL11" i="23"/>
  <c r="B8" i="23"/>
  <c r="B9" i="21"/>
  <c r="AR7" i="23"/>
  <c r="AV7" i="23" s="1"/>
  <c r="AM9" i="21"/>
  <c r="AY8" i="23"/>
  <c r="AY9" i="23" s="1"/>
  <c r="AT8" i="23"/>
  <c r="AU8" i="23" s="1"/>
  <c r="C8" i="21"/>
  <c r="AF7" i="23"/>
  <c r="AJ7" i="23" s="1"/>
  <c r="AJ7" i="21"/>
  <c r="BD7" i="21" s="1"/>
  <c r="Y4" i="16" s="1"/>
  <c r="H13" i="39"/>
  <c r="B7" i="1"/>
  <c r="B8" i="18"/>
  <c r="F41" i="23"/>
  <c r="BB41" i="23" s="1"/>
  <c r="H17" i="39"/>
  <c r="AB7" i="23"/>
  <c r="I7" i="23"/>
  <c r="AW10" i="17"/>
  <c r="AZ22" i="17"/>
  <c r="AZ23" i="17" s="1"/>
  <c r="BF22" i="17"/>
  <c r="BF23" i="17" s="1"/>
  <c r="BF24" i="17" s="1"/>
  <c r="BF25" i="17" s="1"/>
  <c r="BF26" i="17" s="1"/>
  <c r="BF27" i="17" s="1"/>
  <c r="BF28" i="17" s="1"/>
  <c r="BF29" i="17" s="1"/>
  <c r="BF30" i="17" s="1"/>
  <c r="BF31" i="17" s="1"/>
  <c r="BF32" i="17" s="1"/>
  <c r="BF33" i="17" s="1"/>
  <c r="BF34" i="17" s="1"/>
  <c r="BF35" i="17" s="1"/>
  <c r="BF36" i="17" s="1"/>
  <c r="BF37" i="17" s="1"/>
  <c r="BF38" i="17" s="1"/>
  <c r="BF39" i="17" s="1"/>
  <c r="BF40" i="17" s="1"/>
  <c r="BF41" i="17" s="1"/>
  <c r="BC22" i="17"/>
  <c r="BC23" i="17" s="1"/>
  <c r="BC24" i="17" s="1"/>
  <c r="BC25" i="17" s="1"/>
  <c r="BC26" i="17" s="1"/>
  <c r="BC27" i="17" s="1"/>
  <c r="BC28" i="17" s="1"/>
  <c r="BC29" i="17" s="1"/>
  <c r="BC30" i="17" s="1"/>
  <c r="BC31" i="17" s="1"/>
  <c r="BC32" i="17" s="1"/>
  <c r="BC33" i="17" s="1"/>
  <c r="BC34" i="17" s="1"/>
  <c r="BC35" i="17" s="1"/>
  <c r="BC36" i="17" s="1"/>
  <c r="BC37" i="17" s="1"/>
  <c r="BC38" i="17" s="1"/>
  <c r="BC39" i="17" s="1"/>
  <c r="BC40" i="17" s="1"/>
  <c r="BC41" i="17" s="1"/>
  <c r="AO10" i="17"/>
  <c r="AP9" i="17"/>
  <c r="AS10" i="17"/>
  <c r="Q8" i="18"/>
  <c r="R8" i="18" s="1"/>
  <c r="P8" i="21"/>
  <c r="P9" i="21" s="1"/>
  <c r="P10" i="21" s="1"/>
  <c r="U7" i="1"/>
  <c r="U8" i="1" s="1"/>
  <c r="V8" i="1" s="1"/>
  <c r="AD9" i="17"/>
  <c r="AF9" i="18"/>
  <c r="AG9" i="18" s="1"/>
  <c r="AG8" i="18"/>
  <c r="AF8" i="1"/>
  <c r="AA8" i="21"/>
  <c r="AA9" i="21" s="1"/>
  <c r="AK9" i="17"/>
  <c r="AK10" i="17" s="1"/>
  <c r="AK11" i="17" s="1"/>
  <c r="AE8" i="21"/>
  <c r="AH8" i="21"/>
  <c r="AH9" i="21" s="1"/>
  <c r="AI9" i="21" s="1"/>
  <c r="Y8" i="18"/>
  <c r="Y9" i="18" s="1"/>
  <c r="I8" i="1"/>
  <c r="N7" i="1"/>
  <c r="R9" i="1"/>
  <c r="Q10" i="1"/>
  <c r="N8" i="1"/>
  <c r="M9" i="1"/>
  <c r="R8" i="1"/>
  <c r="R6" i="1"/>
  <c r="Y7" i="1"/>
  <c r="Z9" i="17"/>
  <c r="V9" i="17"/>
  <c r="W8" i="17"/>
  <c r="BM7" i="23"/>
  <c r="M8" i="18"/>
  <c r="I8" i="18"/>
  <c r="X8" i="21"/>
  <c r="T8" i="21"/>
  <c r="AG22" i="17"/>
  <c r="AB8" i="18"/>
  <c r="BL7" i="23"/>
  <c r="M10" i="17" l="1"/>
  <c r="K5" i="16"/>
  <c r="AM9" i="23"/>
  <c r="AM10" i="23" s="1"/>
  <c r="AM11" i="23" s="1"/>
  <c r="S9" i="17"/>
  <c r="AE9" i="17"/>
  <c r="AL8" i="17"/>
  <c r="AE8" i="17"/>
  <c r="C7" i="1"/>
  <c r="B8" i="1"/>
  <c r="BD7" i="23"/>
  <c r="AE8" i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G7" i="1"/>
  <c r="BL7" i="18"/>
  <c r="BA22" i="18"/>
  <c r="BA23" i="18" s="1"/>
  <c r="BA24" i="18" s="1"/>
  <c r="BA25" i="18" s="1"/>
  <c r="BA26" i="18" s="1"/>
  <c r="BA27" i="18" s="1"/>
  <c r="BA28" i="18" s="1"/>
  <c r="BA29" i="18" s="1"/>
  <c r="BA30" i="18" s="1"/>
  <c r="BA31" i="18" s="1"/>
  <c r="BA32" i="18" s="1"/>
  <c r="BA33" i="18" s="1"/>
  <c r="BA34" i="18" s="1"/>
  <c r="BA35" i="18" s="1"/>
  <c r="BA36" i="18" s="1"/>
  <c r="BA37" i="18" s="1"/>
  <c r="BA38" i="18" s="1"/>
  <c r="BA39" i="18" s="1"/>
  <c r="BA40" i="18" s="1"/>
  <c r="BA41" i="18" s="1"/>
  <c r="AN10" i="23"/>
  <c r="C8" i="23"/>
  <c r="C9" i="23" s="1"/>
  <c r="C10" i="23" s="1"/>
  <c r="C11" i="23" s="1"/>
  <c r="C12" i="23" s="1"/>
  <c r="C13" i="23" s="1"/>
  <c r="C14" i="23" s="1"/>
  <c r="C15" i="23" s="1"/>
  <c r="C16" i="23" s="1"/>
  <c r="C17" i="23" s="1"/>
  <c r="C18" i="23" s="1"/>
  <c r="C19" i="23" s="1"/>
  <c r="C20" i="23" s="1"/>
  <c r="C21" i="23" s="1"/>
  <c r="C22" i="23" s="1"/>
  <c r="C23" i="23" s="1"/>
  <c r="C24" i="23" s="1"/>
  <c r="C25" i="23" s="1"/>
  <c r="C26" i="23" s="1"/>
  <c r="C27" i="23" s="1"/>
  <c r="C28" i="23" s="1"/>
  <c r="C29" i="23" s="1"/>
  <c r="C30" i="23" s="1"/>
  <c r="C31" i="23" s="1"/>
  <c r="C32" i="23" s="1"/>
  <c r="C33" i="23" s="1"/>
  <c r="C34" i="23" s="1"/>
  <c r="C35" i="23" s="1"/>
  <c r="C36" i="23" s="1"/>
  <c r="C37" i="23" s="1"/>
  <c r="C38" i="23" s="1"/>
  <c r="C39" i="23" s="1"/>
  <c r="C40" i="23" s="1"/>
  <c r="C41" i="23" s="1"/>
  <c r="AZ8" i="23"/>
  <c r="S8" i="17"/>
  <c r="AB8" i="1"/>
  <c r="AT9" i="21"/>
  <c r="AS9" i="18"/>
  <c r="BA8" i="1"/>
  <c r="AS8" i="18"/>
  <c r="AN9" i="21"/>
  <c r="Q9" i="18"/>
  <c r="AX8" i="17"/>
  <c r="AM8" i="44"/>
  <c r="C8" i="44"/>
  <c r="AN8" i="21"/>
  <c r="AQ8" i="44"/>
  <c r="AA8" i="44"/>
  <c r="AE8" i="44"/>
  <c r="AH8" i="44"/>
  <c r="AY8" i="44"/>
  <c r="AT8" i="44"/>
  <c r="J7" i="1"/>
  <c r="AX9" i="17"/>
  <c r="AF10" i="18"/>
  <c r="AG10" i="18" s="1"/>
  <c r="AN9" i="23"/>
  <c r="AJ9" i="18"/>
  <c r="AD10" i="17"/>
  <c r="AE10" i="17" s="1"/>
  <c r="AR8" i="23"/>
  <c r="AV8" i="23" s="1"/>
  <c r="Q9" i="21"/>
  <c r="AL10" i="17"/>
  <c r="AA8" i="17"/>
  <c r="C9" i="21"/>
  <c r="AR9" i="17"/>
  <c r="AT8" i="17"/>
  <c r="AL12" i="23"/>
  <c r="AQ9" i="21"/>
  <c r="AR8" i="21"/>
  <c r="AV8" i="21" s="1"/>
  <c r="AI12" i="18"/>
  <c r="AY9" i="21"/>
  <c r="AZ8" i="21"/>
  <c r="AM14" i="18"/>
  <c r="AQ12" i="1"/>
  <c r="AS11" i="1"/>
  <c r="AJ8" i="1"/>
  <c r="AT9" i="23"/>
  <c r="AT10" i="23" s="1"/>
  <c r="B9" i="23"/>
  <c r="AI10" i="1"/>
  <c r="AL11" i="21"/>
  <c r="AS10" i="18"/>
  <c r="AQ11" i="18"/>
  <c r="AL9" i="17"/>
  <c r="U9" i="18"/>
  <c r="AO8" i="18"/>
  <c r="AN9" i="18"/>
  <c r="AK7" i="1"/>
  <c r="AM10" i="21"/>
  <c r="V7" i="1"/>
  <c r="U9" i="1"/>
  <c r="U10" i="1" s="1"/>
  <c r="Q8" i="21"/>
  <c r="AU9" i="21"/>
  <c r="AT10" i="21"/>
  <c r="AO8" i="1"/>
  <c r="AM9" i="1"/>
  <c r="BH7" i="23"/>
  <c r="H18" i="39"/>
  <c r="H19" i="39" s="1"/>
  <c r="AH10" i="21"/>
  <c r="AI10" i="21" s="1"/>
  <c r="AQ10" i="23"/>
  <c r="AR9" i="23"/>
  <c r="BF7" i="21"/>
  <c r="Z4" i="16" s="1"/>
  <c r="AY10" i="23"/>
  <c r="AZ9" i="23"/>
  <c r="B9" i="18"/>
  <c r="AW11" i="17"/>
  <c r="AX10" i="17"/>
  <c r="AS11" i="17"/>
  <c r="AO11" i="17"/>
  <c r="AP10" i="17"/>
  <c r="AZ24" i="17"/>
  <c r="AZ25" i="17" s="1"/>
  <c r="AZ26" i="17" s="1"/>
  <c r="AZ27" i="17" s="1"/>
  <c r="AZ28" i="17" s="1"/>
  <c r="AZ29" i="17" s="1"/>
  <c r="AZ30" i="17" s="1"/>
  <c r="AZ31" i="17" s="1"/>
  <c r="AZ32" i="17" s="1"/>
  <c r="AZ33" i="17" s="1"/>
  <c r="AZ34" i="17" s="1"/>
  <c r="AZ35" i="17" s="1"/>
  <c r="AZ36" i="17" s="1"/>
  <c r="AZ37" i="17" s="1"/>
  <c r="AZ38" i="17" s="1"/>
  <c r="AZ39" i="17" s="1"/>
  <c r="AZ40" i="17" s="1"/>
  <c r="AZ41" i="17" s="1"/>
  <c r="AI8" i="21"/>
  <c r="AE9" i="21"/>
  <c r="AF9" i="1"/>
  <c r="Z8" i="18"/>
  <c r="P11" i="21"/>
  <c r="Q10" i="21"/>
  <c r="M9" i="18"/>
  <c r="N8" i="18"/>
  <c r="W9" i="17"/>
  <c r="V10" i="17"/>
  <c r="AA9" i="17"/>
  <c r="Z10" i="17"/>
  <c r="J8" i="18"/>
  <c r="I9" i="18"/>
  <c r="Q11" i="1"/>
  <c r="R10" i="1"/>
  <c r="L9" i="21"/>
  <c r="Q10" i="18"/>
  <c r="R9" i="18"/>
  <c r="T8" i="23"/>
  <c r="X8" i="23"/>
  <c r="P8" i="23"/>
  <c r="L8" i="23"/>
  <c r="Y8" i="1"/>
  <c r="Z7" i="1"/>
  <c r="M10" i="1"/>
  <c r="N9" i="1"/>
  <c r="X9" i="21"/>
  <c r="Y8" i="21"/>
  <c r="U8" i="21"/>
  <c r="T9" i="21"/>
  <c r="R11" i="17"/>
  <c r="S10" i="17"/>
  <c r="Y10" i="18"/>
  <c r="Z9" i="18"/>
  <c r="I9" i="1"/>
  <c r="J8" i="1"/>
  <c r="AA10" i="21"/>
  <c r="AB9" i="18"/>
  <c r="AG23" i="17"/>
  <c r="AK12" i="17"/>
  <c r="AL11" i="17"/>
  <c r="AE8" i="23"/>
  <c r="AH8" i="23"/>
  <c r="AA8" i="23"/>
  <c r="AF11" i="18"/>
  <c r="K19" i="16" l="1"/>
  <c r="K6" i="16"/>
  <c r="M11" i="17"/>
  <c r="AM12" i="23"/>
  <c r="AM13" i="23" s="1"/>
  <c r="AM14" i="23" s="1"/>
  <c r="AM15" i="23" s="1"/>
  <c r="AM16" i="23" s="1"/>
  <c r="AM17" i="23" s="1"/>
  <c r="AM18" i="23" s="1"/>
  <c r="AM19" i="23" s="1"/>
  <c r="AM20" i="23" s="1"/>
  <c r="AM21" i="23" s="1"/>
  <c r="AM22" i="23" s="1"/>
  <c r="AM23" i="23" s="1"/>
  <c r="AM24" i="23" s="1"/>
  <c r="AM25" i="23" s="1"/>
  <c r="AM26" i="23" s="1"/>
  <c r="AM27" i="23" s="1"/>
  <c r="AM28" i="23" s="1"/>
  <c r="AM29" i="23" s="1"/>
  <c r="AM30" i="23" s="1"/>
  <c r="AM31" i="23" s="1"/>
  <c r="AM32" i="23" s="1"/>
  <c r="AM33" i="23" s="1"/>
  <c r="AM34" i="23" s="1"/>
  <c r="AM35" i="23" s="1"/>
  <c r="AM36" i="23" s="1"/>
  <c r="AM37" i="23" s="1"/>
  <c r="AM38" i="23" s="1"/>
  <c r="AM39" i="23" s="1"/>
  <c r="AM40" i="23" s="1"/>
  <c r="AM41" i="23" s="1"/>
  <c r="AN11" i="23"/>
  <c r="AG8" i="1"/>
  <c r="AD11" i="17"/>
  <c r="AE11" i="17" s="1"/>
  <c r="C8" i="1"/>
  <c r="BL8" i="18"/>
  <c r="BA9" i="1"/>
  <c r="AB9" i="1"/>
  <c r="C9" i="44"/>
  <c r="AN10" i="21"/>
  <c r="AT9" i="44"/>
  <c r="AU8" i="44"/>
  <c r="AM9" i="44"/>
  <c r="AN8" i="44"/>
  <c r="AH9" i="44"/>
  <c r="AI8" i="44"/>
  <c r="AE9" i="44"/>
  <c r="AF8" i="44"/>
  <c r="AA9" i="44"/>
  <c r="AQ9" i="44"/>
  <c r="AR8" i="44"/>
  <c r="AY9" i="44"/>
  <c r="AZ8" i="44"/>
  <c r="AH11" i="21"/>
  <c r="AI11" i="21" s="1"/>
  <c r="AJ10" i="18"/>
  <c r="AK9" i="18"/>
  <c r="V9" i="1"/>
  <c r="AM10" i="1"/>
  <c r="AO9" i="1"/>
  <c r="AN10" i="18"/>
  <c r="AO9" i="18"/>
  <c r="U10" i="18"/>
  <c r="V9" i="18"/>
  <c r="AL12" i="21"/>
  <c r="AI13" i="18"/>
  <c r="AM15" i="18"/>
  <c r="AI11" i="1"/>
  <c r="AT11" i="21"/>
  <c r="AU10" i="21"/>
  <c r="AJ9" i="1"/>
  <c r="AJ10" i="1" s="1"/>
  <c r="AK8" i="1"/>
  <c r="AQ10" i="21"/>
  <c r="AR9" i="21"/>
  <c r="AV9" i="21" s="1"/>
  <c r="AU9" i="23"/>
  <c r="AV9" i="23" s="1"/>
  <c r="AM11" i="21"/>
  <c r="AY10" i="21"/>
  <c r="AZ9" i="21"/>
  <c r="AL13" i="23"/>
  <c r="AR10" i="17"/>
  <c r="AT9" i="17"/>
  <c r="AS11" i="18"/>
  <c r="AQ12" i="18"/>
  <c r="B10" i="23"/>
  <c r="B11" i="21"/>
  <c r="C10" i="21"/>
  <c r="AQ13" i="1"/>
  <c r="AS12" i="1"/>
  <c r="BF7" i="23"/>
  <c r="AQ11" i="23"/>
  <c r="AR10" i="23"/>
  <c r="AU10" i="23"/>
  <c r="AT11" i="23"/>
  <c r="AZ10" i="23"/>
  <c r="AY11" i="23"/>
  <c r="B10" i="18"/>
  <c r="B9" i="1"/>
  <c r="AX11" i="17"/>
  <c r="AW12" i="17"/>
  <c r="AS12" i="17"/>
  <c r="AP11" i="17"/>
  <c r="AO12" i="17"/>
  <c r="AG9" i="1"/>
  <c r="AF10" i="1"/>
  <c r="AF11" i="1" s="1"/>
  <c r="AE10" i="21"/>
  <c r="P12" i="21"/>
  <c r="Q11" i="21"/>
  <c r="N10" i="1"/>
  <c r="M11" i="1"/>
  <c r="Z11" i="17"/>
  <c r="AA10" i="17"/>
  <c r="Z10" i="18"/>
  <c r="Y11" i="18"/>
  <c r="Q12" i="1"/>
  <c r="R11" i="1"/>
  <c r="T10" i="21"/>
  <c r="U9" i="21"/>
  <c r="Y9" i="1"/>
  <c r="Z8" i="1"/>
  <c r="U8" i="23"/>
  <c r="T9" i="23"/>
  <c r="J9" i="18"/>
  <c r="I10" i="18"/>
  <c r="W10" i="17"/>
  <c r="V11" i="17"/>
  <c r="U11" i="1"/>
  <c r="V10" i="1"/>
  <c r="X10" i="21"/>
  <c r="Y9" i="21"/>
  <c r="P9" i="23"/>
  <c r="Q8" i="23"/>
  <c r="R10" i="18"/>
  <c r="Q11" i="18"/>
  <c r="I10" i="1"/>
  <c r="J9" i="1"/>
  <c r="X9" i="23"/>
  <c r="Y8" i="23"/>
  <c r="R12" i="17"/>
  <c r="S11" i="17"/>
  <c r="M8" i="23"/>
  <c r="L9" i="23"/>
  <c r="M9" i="21"/>
  <c r="L10" i="21"/>
  <c r="M10" i="18"/>
  <c r="N9" i="18"/>
  <c r="AF12" i="18"/>
  <c r="AG11" i="18"/>
  <c r="AA9" i="23"/>
  <c r="AB10" i="18"/>
  <c r="AH9" i="23"/>
  <c r="AI8" i="23"/>
  <c r="AK13" i="17"/>
  <c r="AL12" i="17"/>
  <c r="AG24" i="17"/>
  <c r="AE9" i="23"/>
  <c r="AF8" i="23"/>
  <c r="AA11" i="21"/>
  <c r="AN12" i="23" l="1"/>
  <c r="M12" i="17"/>
  <c r="K7" i="16"/>
  <c r="K20" i="16"/>
  <c r="AV8" i="44"/>
  <c r="C9" i="1"/>
  <c r="AD12" i="17"/>
  <c r="AE12" i="17" s="1"/>
  <c r="BL9" i="18"/>
  <c r="AH12" i="21"/>
  <c r="AB10" i="1"/>
  <c r="BA10" i="1"/>
  <c r="AA10" i="44"/>
  <c r="AH10" i="44"/>
  <c r="AI9" i="44"/>
  <c r="AJ8" i="44"/>
  <c r="BH8" i="44"/>
  <c r="AQ10" i="44"/>
  <c r="AR9" i="44"/>
  <c r="AY10" i="44"/>
  <c r="AZ9" i="44"/>
  <c r="AE10" i="44"/>
  <c r="AF9" i="44"/>
  <c r="C10" i="44"/>
  <c r="AT10" i="44"/>
  <c r="AU9" i="44"/>
  <c r="AN11" i="21"/>
  <c r="AM10" i="44"/>
  <c r="AN9" i="44"/>
  <c r="AJ11" i="18"/>
  <c r="AK10" i="18"/>
  <c r="AK9" i="1"/>
  <c r="V10" i="18"/>
  <c r="U11" i="18"/>
  <c r="AS13" i="1"/>
  <c r="AQ14" i="1"/>
  <c r="AV10" i="23"/>
  <c r="AM16" i="18"/>
  <c r="C11" i="21"/>
  <c r="AS12" i="18"/>
  <c r="AQ13" i="18"/>
  <c r="AN11" i="18"/>
  <c r="AO10" i="18"/>
  <c r="A5" i="16"/>
  <c r="AN13" i="23"/>
  <c r="AL14" i="23"/>
  <c r="AM12" i="21"/>
  <c r="AI14" i="18"/>
  <c r="B11" i="23"/>
  <c r="B12" i="21"/>
  <c r="AZ10" i="21"/>
  <c r="AY11" i="21"/>
  <c r="AI12" i="1"/>
  <c r="AO10" i="1"/>
  <c r="AM11" i="1"/>
  <c r="AR11" i="17"/>
  <c r="AT10" i="17"/>
  <c r="AR10" i="21"/>
  <c r="AV10" i="21" s="1"/>
  <c r="AQ11" i="21"/>
  <c r="AT12" i="21"/>
  <c r="AU11" i="21"/>
  <c r="AL13" i="21"/>
  <c r="AR11" i="23"/>
  <c r="AQ12" i="23"/>
  <c r="AU11" i="23"/>
  <c r="AT12" i="23"/>
  <c r="AY12" i="23"/>
  <c r="AZ11" i="23"/>
  <c r="B11" i="18"/>
  <c r="B10" i="1"/>
  <c r="AX12" i="17"/>
  <c r="AW13" i="17"/>
  <c r="AS13" i="17"/>
  <c r="AO13" i="17"/>
  <c r="AP12" i="17"/>
  <c r="AE11" i="21"/>
  <c r="AG10" i="1"/>
  <c r="Q12" i="21"/>
  <c r="P13" i="21"/>
  <c r="L11" i="21"/>
  <c r="M10" i="21"/>
  <c r="U10" i="21"/>
  <c r="T11" i="21"/>
  <c r="X10" i="23"/>
  <c r="Y9" i="23"/>
  <c r="R11" i="18"/>
  <c r="Q12" i="18"/>
  <c r="J10" i="18"/>
  <c r="I11" i="18"/>
  <c r="N10" i="18"/>
  <c r="M11" i="18"/>
  <c r="J10" i="1"/>
  <c r="I11" i="1"/>
  <c r="X11" i="21"/>
  <c r="Y10" i="21"/>
  <c r="Y10" i="1"/>
  <c r="Y11" i="1" s="1"/>
  <c r="Z9" i="1"/>
  <c r="Y12" i="18"/>
  <c r="Z11" i="18"/>
  <c r="M12" i="1"/>
  <c r="N11" i="1"/>
  <c r="L10" i="23"/>
  <c r="M9" i="23"/>
  <c r="W11" i="17"/>
  <c r="V12" i="17"/>
  <c r="T10" i="23"/>
  <c r="U9" i="23"/>
  <c r="Z12" i="17"/>
  <c r="AA11" i="17"/>
  <c r="S12" i="17"/>
  <c r="R13" i="17"/>
  <c r="P10" i="23"/>
  <c r="Q9" i="23"/>
  <c r="U12" i="1"/>
  <c r="V11" i="1"/>
  <c r="R12" i="1"/>
  <c r="Q13" i="1"/>
  <c r="AJ8" i="23"/>
  <c r="BH8" i="23"/>
  <c r="AG25" i="17"/>
  <c r="AG12" i="18"/>
  <c r="AF13" i="18"/>
  <c r="AE10" i="23"/>
  <c r="AF9" i="23"/>
  <c r="AK14" i="17"/>
  <c r="AL13" i="17"/>
  <c r="AH13" i="21"/>
  <c r="AI12" i="21"/>
  <c r="AH10" i="23"/>
  <c r="AI9" i="23"/>
  <c r="AB11" i="18"/>
  <c r="AA10" i="23"/>
  <c r="AA12" i="21"/>
  <c r="K21" i="16" l="1"/>
  <c r="K8" i="16"/>
  <c r="M13" i="17"/>
  <c r="AQ5" i="16"/>
  <c r="AR5" i="16"/>
  <c r="AE5" i="16"/>
  <c r="AF5" i="16"/>
  <c r="AG5" i="16"/>
  <c r="AB5" i="16"/>
  <c r="AD5" i="16"/>
  <c r="U5" i="16"/>
  <c r="V5" i="16"/>
  <c r="AS5" i="16"/>
  <c r="AP5" i="16"/>
  <c r="AN5" i="16"/>
  <c r="R5" i="16"/>
  <c r="S5" i="16"/>
  <c r="I5" i="16"/>
  <c r="D5" i="16"/>
  <c r="AH5" i="16"/>
  <c r="AI5" i="16"/>
  <c r="AJ5" i="16"/>
  <c r="AK5" i="16"/>
  <c r="AM5" i="16"/>
  <c r="AL5" i="16"/>
  <c r="C10" i="1"/>
  <c r="AD13" i="17"/>
  <c r="AE13" i="17" s="1"/>
  <c r="BL10" i="18"/>
  <c r="BA11" i="1"/>
  <c r="AB11" i="1"/>
  <c r="AT11" i="44"/>
  <c r="AU10" i="44"/>
  <c r="AJ9" i="44"/>
  <c r="BH9" i="44"/>
  <c r="AE11" i="44"/>
  <c r="AF10" i="44"/>
  <c r="AN12" i="21"/>
  <c r="AM11" i="44"/>
  <c r="AN10" i="44"/>
  <c r="AY11" i="44"/>
  <c r="AZ10" i="44"/>
  <c r="AA11" i="44"/>
  <c r="AH11" i="44"/>
  <c r="AI10" i="44"/>
  <c r="C11" i="44"/>
  <c r="AV9" i="44"/>
  <c r="AQ11" i="44"/>
  <c r="AR10" i="44"/>
  <c r="AJ12" i="18"/>
  <c r="AK11" i="18"/>
  <c r="AV11" i="23"/>
  <c r="A6" i="16"/>
  <c r="AM13" i="21"/>
  <c r="AL14" i="21"/>
  <c r="AS13" i="18"/>
  <c r="AQ14" i="18"/>
  <c r="AZ11" i="21"/>
  <c r="AY12" i="21"/>
  <c r="AI13" i="1"/>
  <c r="AR12" i="17"/>
  <c r="AT11" i="17"/>
  <c r="AJ11" i="1"/>
  <c r="AK10" i="1"/>
  <c r="V11" i="18"/>
  <c r="U12" i="18"/>
  <c r="AM12" i="1"/>
  <c r="AO11" i="1"/>
  <c r="AI15" i="18"/>
  <c r="AN12" i="18"/>
  <c r="AO11" i="18"/>
  <c r="C12" i="21"/>
  <c r="AR11" i="21"/>
  <c r="AV11" i="21" s="1"/>
  <c r="AQ12" i="21"/>
  <c r="AM17" i="18"/>
  <c r="AU12" i="21"/>
  <c r="AT13" i="21"/>
  <c r="B12" i="23"/>
  <c r="B13" i="21"/>
  <c r="AN14" i="23"/>
  <c r="AL15" i="23"/>
  <c r="AS14" i="1"/>
  <c r="AQ15" i="1"/>
  <c r="AQ13" i="23"/>
  <c r="AR12" i="23"/>
  <c r="AU12" i="23"/>
  <c r="AT13" i="23"/>
  <c r="AZ12" i="23"/>
  <c r="AY13" i="23"/>
  <c r="B12" i="18"/>
  <c r="B11" i="1"/>
  <c r="AW14" i="17"/>
  <c r="AX13" i="17"/>
  <c r="AS14" i="17"/>
  <c r="AO14" i="17"/>
  <c r="AP13" i="17"/>
  <c r="AF12" i="1"/>
  <c r="AG11" i="1"/>
  <c r="AE12" i="21"/>
  <c r="Q13" i="21"/>
  <c r="P14" i="21"/>
  <c r="P11" i="23"/>
  <c r="Q10" i="23"/>
  <c r="Z13" i="17"/>
  <c r="AA12" i="17"/>
  <c r="N12" i="1"/>
  <c r="M13" i="1"/>
  <c r="T12" i="21"/>
  <c r="U11" i="21"/>
  <c r="L12" i="21"/>
  <c r="M11" i="21"/>
  <c r="R14" i="17"/>
  <c r="S13" i="17"/>
  <c r="L11" i="23"/>
  <c r="M10" i="23"/>
  <c r="M12" i="18"/>
  <c r="N11" i="18"/>
  <c r="V12" i="1"/>
  <c r="U13" i="1"/>
  <c r="T11" i="23"/>
  <c r="U10" i="23"/>
  <c r="Y13" i="18"/>
  <c r="Z12" i="18"/>
  <c r="Z10" i="1"/>
  <c r="X12" i="21"/>
  <c r="Y11" i="21"/>
  <c r="X11" i="23"/>
  <c r="Y10" i="23"/>
  <c r="Q14" i="1"/>
  <c r="R13" i="1"/>
  <c r="V13" i="17"/>
  <c r="W12" i="17"/>
  <c r="I12" i="1"/>
  <c r="J11" i="1"/>
  <c r="I12" i="18"/>
  <c r="J11" i="18"/>
  <c r="Q13" i="18"/>
  <c r="R12" i="18"/>
  <c r="AL14" i="17"/>
  <c r="AK15" i="17"/>
  <c r="AG26" i="17"/>
  <c r="AJ9" i="23"/>
  <c r="BH9" i="23"/>
  <c r="AF14" i="18"/>
  <c r="AG13" i="18"/>
  <c r="AA13" i="21"/>
  <c r="AA11" i="23"/>
  <c r="AB12" i="18"/>
  <c r="AH11" i="23"/>
  <c r="AI10" i="23"/>
  <c r="AE11" i="23"/>
  <c r="AF10" i="23"/>
  <c r="AH14" i="21"/>
  <c r="AI13" i="21"/>
  <c r="M14" i="17" l="1"/>
  <c r="K9" i="16"/>
  <c r="K22" i="16"/>
  <c r="J5" i="16"/>
  <c r="AQ6" i="16"/>
  <c r="AR6" i="16"/>
  <c r="AF6" i="16"/>
  <c r="AE6" i="16"/>
  <c r="AB6" i="16"/>
  <c r="AD6" i="16"/>
  <c r="AG6" i="16"/>
  <c r="U6" i="16"/>
  <c r="V6" i="16"/>
  <c r="AS6" i="16"/>
  <c r="AP6" i="16"/>
  <c r="AN6" i="16"/>
  <c r="R6" i="16"/>
  <c r="I6" i="16"/>
  <c r="AH6" i="16"/>
  <c r="AI6" i="16"/>
  <c r="AJ6" i="16"/>
  <c r="AM6" i="16"/>
  <c r="AK6" i="16"/>
  <c r="AL6" i="16"/>
  <c r="C11" i="1"/>
  <c r="AD14" i="17"/>
  <c r="AE14" i="17" s="1"/>
  <c r="BL11" i="18"/>
  <c r="AB12" i="1"/>
  <c r="BA12" i="1"/>
  <c r="AE12" i="44"/>
  <c r="AF11" i="44"/>
  <c r="AH12" i="44"/>
  <c r="AI11" i="44"/>
  <c r="AY12" i="44"/>
  <c r="AZ11" i="44"/>
  <c r="AQ12" i="44"/>
  <c r="AR11" i="44"/>
  <c r="C12" i="44"/>
  <c r="AV10" i="44"/>
  <c r="AT12" i="44"/>
  <c r="AU11" i="44"/>
  <c r="AN13" i="21"/>
  <c r="AM12" i="44"/>
  <c r="AN11" i="44"/>
  <c r="AA12" i="44"/>
  <c r="AJ10" i="44"/>
  <c r="BH10" i="44"/>
  <c r="AJ13" i="18"/>
  <c r="AK12" i="18"/>
  <c r="AV12" i="23"/>
  <c r="A7" i="16"/>
  <c r="AI14" i="1"/>
  <c r="C13" i="21"/>
  <c r="AR13" i="17"/>
  <c r="AT12" i="17"/>
  <c r="AM13" i="1"/>
  <c r="AO12" i="1"/>
  <c r="AJ12" i="1"/>
  <c r="AK11" i="1"/>
  <c r="AY13" i="21"/>
  <c r="AZ12" i="21"/>
  <c r="AL15" i="21"/>
  <c r="AN15" i="23"/>
  <c r="AL16" i="23"/>
  <c r="AN13" i="18"/>
  <c r="AO12" i="18"/>
  <c r="U13" i="18"/>
  <c r="V12" i="18"/>
  <c r="AS14" i="18"/>
  <c r="AQ15" i="18"/>
  <c r="AI16" i="18"/>
  <c r="AU13" i="21"/>
  <c r="AT14" i="21"/>
  <c r="B13" i="23"/>
  <c r="B14" i="21"/>
  <c r="AS15" i="1"/>
  <c r="AQ16" i="1"/>
  <c r="AM18" i="18"/>
  <c r="AR12" i="21"/>
  <c r="AV12" i="21" s="1"/>
  <c r="AQ13" i="21"/>
  <c r="AM14" i="21"/>
  <c r="AQ14" i="23"/>
  <c r="AR13" i="23"/>
  <c r="AT14" i="23"/>
  <c r="AU13" i="23"/>
  <c r="AY14" i="23"/>
  <c r="AZ13" i="23"/>
  <c r="B13" i="18"/>
  <c r="B12" i="1"/>
  <c r="B5" i="16"/>
  <c r="AW15" i="17"/>
  <c r="AX14" i="17"/>
  <c r="AS15" i="17"/>
  <c r="AO15" i="17"/>
  <c r="AP14" i="17"/>
  <c r="AE13" i="21"/>
  <c r="AG12" i="1"/>
  <c r="AF13" i="1"/>
  <c r="P15" i="21"/>
  <c r="Q14" i="21"/>
  <c r="T12" i="23"/>
  <c r="U11" i="23"/>
  <c r="M13" i="18"/>
  <c r="N12" i="18"/>
  <c r="L12" i="23"/>
  <c r="M11" i="23"/>
  <c r="R15" i="17"/>
  <c r="S14" i="17"/>
  <c r="U12" i="21"/>
  <c r="T13" i="21"/>
  <c r="M14" i="1"/>
  <c r="N13" i="1"/>
  <c r="Q14" i="18"/>
  <c r="R13" i="18"/>
  <c r="P12" i="23"/>
  <c r="Q11" i="23"/>
  <c r="I13" i="18"/>
  <c r="J12" i="18"/>
  <c r="J12" i="1"/>
  <c r="I13" i="1"/>
  <c r="Q15" i="1"/>
  <c r="R14" i="1"/>
  <c r="V13" i="1"/>
  <c r="U14" i="1"/>
  <c r="Z14" i="17"/>
  <c r="AA13" i="17"/>
  <c r="V14" i="17"/>
  <c r="W13" i="17"/>
  <c r="Y12" i="1"/>
  <c r="Z11" i="1"/>
  <c r="Y11" i="23"/>
  <c r="X12" i="23"/>
  <c r="X13" i="21"/>
  <c r="Y12" i="21"/>
  <c r="Y14" i="18"/>
  <c r="Z13" i="18"/>
  <c r="L13" i="21"/>
  <c r="M12" i="21"/>
  <c r="AG27" i="17"/>
  <c r="AH12" i="23"/>
  <c r="AI11" i="23"/>
  <c r="AA12" i="23"/>
  <c r="AF15" i="18"/>
  <c r="AG14" i="18"/>
  <c r="AH15" i="21"/>
  <c r="AI14" i="21"/>
  <c r="AJ10" i="23"/>
  <c r="BH10" i="23"/>
  <c r="AA14" i="21"/>
  <c r="AE12" i="23"/>
  <c r="AF11" i="23"/>
  <c r="AB13" i="18"/>
  <c r="AK16" i="17"/>
  <c r="AL15" i="17"/>
  <c r="K23" i="16" l="1"/>
  <c r="K10" i="16"/>
  <c r="M15" i="17"/>
  <c r="AD15" i="17"/>
  <c r="J6" i="16"/>
  <c r="C5" i="16"/>
  <c r="AQ7" i="16"/>
  <c r="AR7" i="16"/>
  <c r="AE7" i="16"/>
  <c r="AF7" i="16"/>
  <c r="AB7" i="16"/>
  <c r="AD7" i="16"/>
  <c r="AG7" i="16"/>
  <c r="U7" i="16"/>
  <c r="V7" i="16"/>
  <c r="AS7" i="16"/>
  <c r="AN7" i="16"/>
  <c r="AP7" i="16"/>
  <c r="R7" i="16"/>
  <c r="I7" i="16"/>
  <c r="AI7" i="16"/>
  <c r="AH7" i="16"/>
  <c r="AK7" i="16"/>
  <c r="AM7" i="16"/>
  <c r="AJ7" i="16"/>
  <c r="AL7" i="16"/>
  <c r="B13" i="1"/>
  <c r="C12" i="1"/>
  <c r="BL12" i="18"/>
  <c r="BA13" i="1"/>
  <c r="AB13" i="1"/>
  <c r="AH13" i="44"/>
  <c r="AI12" i="44"/>
  <c r="AQ13" i="44"/>
  <c r="AR12" i="44"/>
  <c r="AE13" i="44"/>
  <c r="AF12" i="44"/>
  <c r="AV11" i="44"/>
  <c r="AA13" i="44"/>
  <c r="AT13" i="44"/>
  <c r="AU12" i="44"/>
  <c r="AJ11" i="44"/>
  <c r="BH11" i="44"/>
  <c r="C13" i="44"/>
  <c r="AM13" i="44"/>
  <c r="AN12" i="44"/>
  <c r="AY13" i="44"/>
  <c r="AZ12" i="44"/>
  <c r="AJ14" i="18"/>
  <c r="AK13" i="18"/>
  <c r="AV13" i="23"/>
  <c r="AM15" i="21"/>
  <c r="AN15" i="21" s="1"/>
  <c r="AM19" i="18"/>
  <c r="AN14" i="18"/>
  <c r="AO13" i="18"/>
  <c r="AO13" i="1"/>
  <c r="AM14" i="1"/>
  <c r="C14" i="21"/>
  <c r="A8" i="16"/>
  <c r="AS15" i="18"/>
  <c r="AQ16" i="18"/>
  <c r="AN14" i="21"/>
  <c r="AI17" i="18"/>
  <c r="AN16" i="23"/>
  <c r="AL17" i="23"/>
  <c r="AY14" i="21"/>
  <c r="AZ13" i="21"/>
  <c r="AJ13" i="1"/>
  <c r="AK12" i="1"/>
  <c r="AL16" i="21"/>
  <c r="AR13" i="21"/>
  <c r="AV13" i="21" s="1"/>
  <c r="AQ14" i="21"/>
  <c r="B14" i="23"/>
  <c r="B15" i="21"/>
  <c r="V13" i="18"/>
  <c r="U14" i="18"/>
  <c r="AR14" i="17"/>
  <c r="AT13" i="17"/>
  <c r="AI15" i="1"/>
  <c r="AS16" i="1"/>
  <c r="AQ17" i="1"/>
  <c r="AS17" i="1" s="1"/>
  <c r="AT15" i="21"/>
  <c r="AU14" i="21"/>
  <c r="AQ15" i="23"/>
  <c r="AR14" i="23"/>
  <c r="AU14" i="23"/>
  <c r="AT15" i="23"/>
  <c r="AY15" i="23"/>
  <c r="AZ14" i="23"/>
  <c r="B14" i="18"/>
  <c r="B6" i="16"/>
  <c r="AW16" i="17"/>
  <c r="AX15" i="17"/>
  <c r="AS16" i="17"/>
  <c r="AP15" i="17"/>
  <c r="AO16" i="17"/>
  <c r="AF14" i="1"/>
  <c r="AG13" i="1"/>
  <c r="AE14" i="21"/>
  <c r="P16" i="21"/>
  <c r="Q15" i="21"/>
  <c r="X13" i="23"/>
  <c r="Y12" i="23"/>
  <c r="L14" i="21"/>
  <c r="M13" i="21"/>
  <c r="X14" i="21"/>
  <c r="Y13" i="21"/>
  <c r="V15" i="17"/>
  <c r="W14" i="17"/>
  <c r="AA14" i="17"/>
  <c r="Z15" i="17"/>
  <c r="Q4" i="16"/>
  <c r="P13" i="23"/>
  <c r="Q12" i="23"/>
  <c r="R14" i="18"/>
  <c r="Q15" i="18"/>
  <c r="T14" i="21"/>
  <c r="U13" i="21"/>
  <c r="M15" i="1"/>
  <c r="N14" i="1"/>
  <c r="R16" i="17"/>
  <c r="S15" i="17"/>
  <c r="N13" i="18"/>
  <c r="M14" i="18"/>
  <c r="T13" i="23"/>
  <c r="U12" i="23"/>
  <c r="AD16" i="17"/>
  <c r="AE15" i="17"/>
  <c r="Q16" i="1"/>
  <c r="R15" i="1"/>
  <c r="I14" i="18"/>
  <c r="J13" i="18"/>
  <c r="L13" i="23"/>
  <c r="M12" i="23"/>
  <c r="Z14" i="18"/>
  <c r="Y15" i="18"/>
  <c r="Y13" i="1"/>
  <c r="Z12" i="1"/>
  <c r="V14" i="1"/>
  <c r="U15" i="1"/>
  <c r="I14" i="1"/>
  <c r="J13" i="1"/>
  <c r="AJ11" i="23"/>
  <c r="BH11" i="23"/>
  <c r="AE13" i="23"/>
  <c r="AF12" i="23"/>
  <c r="AF16" i="18"/>
  <c r="AG15" i="18"/>
  <c r="AA13" i="23"/>
  <c r="AK17" i="17"/>
  <c r="AL16" i="17"/>
  <c r="AH16" i="21"/>
  <c r="AI15" i="21"/>
  <c r="AG28" i="17"/>
  <c r="AB14" i="18"/>
  <c r="AA15" i="21"/>
  <c r="AH13" i="23"/>
  <c r="AI12" i="23"/>
  <c r="M16" i="17" l="1"/>
  <c r="K11" i="16"/>
  <c r="K24" i="16"/>
  <c r="J7" i="16"/>
  <c r="C6" i="16"/>
  <c r="AQ8" i="16"/>
  <c r="AR8" i="16"/>
  <c r="AE8" i="16"/>
  <c r="AF8" i="16"/>
  <c r="AG8" i="16"/>
  <c r="AD8" i="16"/>
  <c r="AB8" i="16"/>
  <c r="U8" i="16"/>
  <c r="V8" i="16"/>
  <c r="AS8" i="16"/>
  <c r="AN8" i="16"/>
  <c r="AP8" i="16"/>
  <c r="R8" i="16"/>
  <c r="I8" i="16"/>
  <c r="J8" i="16" s="1"/>
  <c r="AH8" i="16"/>
  <c r="AI8" i="16"/>
  <c r="AJ8" i="16"/>
  <c r="AM8" i="16"/>
  <c r="AK8" i="16"/>
  <c r="AL8" i="16"/>
  <c r="C13" i="1"/>
  <c r="BL13" i="18"/>
  <c r="AB14" i="1"/>
  <c r="BA14" i="1"/>
  <c r="AY14" i="44"/>
  <c r="AZ13" i="44"/>
  <c r="C14" i="44"/>
  <c r="AE14" i="44"/>
  <c r="AF13" i="44"/>
  <c r="AQ14" i="44"/>
  <c r="AR13" i="44"/>
  <c r="AA14" i="44"/>
  <c r="AH14" i="44"/>
  <c r="AI13" i="44"/>
  <c r="AM14" i="44"/>
  <c r="AN13" i="44"/>
  <c r="AT14" i="44"/>
  <c r="AU13" i="44"/>
  <c r="AV13" i="44" s="1"/>
  <c r="AV12" i="44"/>
  <c r="AJ12" i="44"/>
  <c r="BH12" i="44"/>
  <c r="AJ15" i="18"/>
  <c r="AK14" i="18"/>
  <c r="AV14" i="23"/>
  <c r="AO14" i="1"/>
  <c r="AM15" i="1"/>
  <c r="AM20" i="18"/>
  <c r="AI18" i="18"/>
  <c r="C15" i="21"/>
  <c r="AY15" i="21"/>
  <c r="AZ14" i="21"/>
  <c r="AM16" i="21"/>
  <c r="AU15" i="21"/>
  <c r="AT16" i="21"/>
  <c r="AQ18" i="1"/>
  <c r="AR15" i="17"/>
  <c r="AT14" i="17"/>
  <c r="AR14" i="21"/>
  <c r="AV14" i="21" s="1"/>
  <c r="AQ15" i="21"/>
  <c r="AN17" i="23"/>
  <c r="AL18" i="23"/>
  <c r="AS16" i="18"/>
  <c r="AQ17" i="18"/>
  <c r="AI16" i="1"/>
  <c r="V14" i="18"/>
  <c r="U15" i="18"/>
  <c r="AN15" i="18"/>
  <c r="AO14" i="18"/>
  <c r="AJ14" i="1"/>
  <c r="AK13" i="1"/>
  <c r="AL17" i="21"/>
  <c r="A9" i="16"/>
  <c r="B15" i="23"/>
  <c r="B16" i="21"/>
  <c r="AR15" i="23"/>
  <c r="AQ16" i="23"/>
  <c r="AU15" i="23"/>
  <c r="AT16" i="23"/>
  <c r="AY16" i="23"/>
  <c r="AZ15" i="23"/>
  <c r="B7" i="16"/>
  <c r="B14" i="1"/>
  <c r="B15" i="18"/>
  <c r="AX16" i="17"/>
  <c r="AW17" i="17"/>
  <c r="AO17" i="17"/>
  <c r="AP16" i="17"/>
  <c r="AS17" i="17"/>
  <c r="AE15" i="21"/>
  <c r="AF15" i="1"/>
  <c r="AG14" i="1"/>
  <c r="Q16" i="21"/>
  <c r="P17" i="21"/>
  <c r="Q5" i="16"/>
  <c r="L15" i="21"/>
  <c r="M14" i="21"/>
  <c r="J14" i="1"/>
  <c r="I15" i="1"/>
  <c r="Z13" i="1"/>
  <c r="Y14" i="1"/>
  <c r="L14" i="23"/>
  <c r="M13" i="23"/>
  <c r="Q17" i="1"/>
  <c r="R16" i="1"/>
  <c r="T15" i="21"/>
  <c r="U14" i="21"/>
  <c r="Z16" i="17"/>
  <c r="AA15" i="17"/>
  <c r="X14" i="23"/>
  <c r="Y13" i="23"/>
  <c r="U16" i="1"/>
  <c r="V15" i="1"/>
  <c r="Y16" i="18"/>
  <c r="Z15" i="18"/>
  <c r="T14" i="23"/>
  <c r="U13" i="23"/>
  <c r="R17" i="17"/>
  <c r="S16" i="17"/>
  <c r="Q16" i="18"/>
  <c r="R15" i="18"/>
  <c r="V16" i="17"/>
  <c r="W15" i="17"/>
  <c r="X15" i="21"/>
  <c r="Y14" i="21"/>
  <c r="AD17" i="17"/>
  <c r="AE16" i="17"/>
  <c r="M16" i="1"/>
  <c r="N15" i="1"/>
  <c r="I15" i="18"/>
  <c r="J14" i="18"/>
  <c r="N14" i="18"/>
  <c r="M15" i="18"/>
  <c r="P14" i="23"/>
  <c r="Q13" i="23"/>
  <c r="AE14" i="23"/>
  <c r="AF13" i="23"/>
  <c r="AB15" i="18"/>
  <c r="AG29" i="17"/>
  <c r="AH17" i="21"/>
  <c r="AI16" i="21"/>
  <c r="AG16" i="18"/>
  <c r="AF17" i="18"/>
  <c r="AH14" i="23"/>
  <c r="AI13" i="23"/>
  <c r="AL17" i="17"/>
  <c r="AK18" i="17"/>
  <c r="AA16" i="21"/>
  <c r="AA14" i="23"/>
  <c r="AJ12" i="23"/>
  <c r="BH12" i="23"/>
  <c r="K25" i="16" l="1"/>
  <c r="K12" i="16"/>
  <c r="M17" i="17"/>
  <c r="C7" i="16"/>
  <c r="AQ9" i="16"/>
  <c r="AR9" i="16"/>
  <c r="AE9" i="16"/>
  <c r="AF9" i="16"/>
  <c r="AG9" i="16"/>
  <c r="U9" i="16"/>
  <c r="AD9" i="16"/>
  <c r="AB9" i="16"/>
  <c r="V9" i="16"/>
  <c r="AS9" i="16"/>
  <c r="AN9" i="16"/>
  <c r="AP9" i="16"/>
  <c r="R9" i="16"/>
  <c r="I9" i="16"/>
  <c r="AH9" i="16"/>
  <c r="AM9" i="16"/>
  <c r="AI9" i="16"/>
  <c r="AJ9" i="16"/>
  <c r="AK9" i="16"/>
  <c r="AL9" i="16"/>
  <c r="C14" i="1"/>
  <c r="BL14" i="18"/>
  <c r="BA15" i="1"/>
  <c r="AB15" i="1"/>
  <c r="C15" i="44"/>
  <c r="AM15" i="44"/>
  <c r="AN14" i="44"/>
  <c r="AE15" i="44"/>
  <c r="AF14" i="44"/>
  <c r="AN16" i="21"/>
  <c r="AT15" i="44"/>
  <c r="AU14" i="44"/>
  <c r="AA15" i="44"/>
  <c r="AY15" i="44"/>
  <c r="AZ14" i="44"/>
  <c r="AH15" i="44"/>
  <c r="AI14" i="44"/>
  <c r="AQ15" i="44"/>
  <c r="AR14" i="44"/>
  <c r="AJ13" i="44"/>
  <c r="BH13" i="44"/>
  <c r="AJ16" i="18"/>
  <c r="AK15" i="18"/>
  <c r="AV15" i="23"/>
  <c r="AT17" i="21"/>
  <c r="AU16" i="21"/>
  <c r="A10" i="16"/>
  <c r="U16" i="18"/>
  <c r="V15" i="18"/>
  <c r="AS17" i="18"/>
  <c r="AQ18" i="18"/>
  <c r="AM17" i="21"/>
  <c r="AM16" i="1"/>
  <c r="AO15" i="1"/>
  <c r="C16" i="21"/>
  <c r="AI17" i="1"/>
  <c r="AI19" i="18"/>
  <c r="B16" i="23"/>
  <c r="B17" i="21"/>
  <c r="AN18" i="23"/>
  <c r="AL19" i="23"/>
  <c r="AN16" i="18"/>
  <c r="AO15" i="18"/>
  <c r="AR15" i="21"/>
  <c r="AV15" i="21" s="1"/>
  <c r="AQ16" i="21"/>
  <c r="AR16" i="17"/>
  <c r="AT15" i="17"/>
  <c r="AL18" i="21"/>
  <c r="AJ15" i="1"/>
  <c r="AK14" i="1"/>
  <c r="AS18" i="1"/>
  <c r="AQ19" i="1"/>
  <c r="AZ15" i="21"/>
  <c r="AY16" i="21"/>
  <c r="AM21" i="18"/>
  <c r="AQ17" i="23"/>
  <c r="AR16" i="23"/>
  <c r="AU16" i="23"/>
  <c r="AT17" i="23"/>
  <c r="AY17" i="23"/>
  <c r="AZ16" i="23"/>
  <c r="B8" i="16"/>
  <c r="B16" i="18"/>
  <c r="B15" i="1"/>
  <c r="AW18" i="17"/>
  <c r="AX17" i="17"/>
  <c r="AS18" i="17"/>
  <c r="AO18" i="17"/>
  <c r="AP17" i="17"/>
  <c r="Q6" i="16"/>
  <c r="AF16" i="1"/>
  <c r="AG15" i="1"/>
  <c r="AE16" i="21"/>
  <c r="P18" i="21"/>
  <c r="Q17" i="21"/>
  <c r="Q17" i="18"/>
  <c r="R16" i="18"/>
  <c r="I16" i="1"/>
  <c r="J15" i="1"/>
  <c r="M16" i="18"/>
  <c r="N15" i="18"/>
  <c r="I16" i="18"/>
  <c r="J15" i="18"/>
  <c r="X15" i="23"/>
  <c r="Y14" i="23"/>
  <c r="T16" i="21"/>
  <c r="U15" i="21"/>
  <c r="L15" i="23"/>
  <c r="M14" i="23"/>
  <c r="X16" i="21"/>
  <c r="Y15" i="21"/>
  <c r="Y17" i="18"/>
  <c r="Z16" i="18"/>
  <c r="P15" i="23"/>
  <c r="Q14" i="23"/>
  <c r="AD18" i="17"/>
  <c r="AE17" i="17"/>
  <c r="V17" i="17"/>
  <c r="W16" i="17"/>
  <c r="R18" i="17"/>
  <c r="S17" i="17"/>
  <c r="U17" i="1"/>
  <c r="V16" i="1"/>
  <c r="Y15" i="1"/>
  <c r="Z14" i="1"/>
  <c r="N16" i="1"/>
  <c r="M17" i="1"/>
  <c r="T15" i="23"/>
  <c r="U14" i="23"/>
  <c r="L16" i="21"/>
  <c r="M15" i="21"/>
  <c r="Z17" i="17"/>
  <c r="AA16" i="17"/>
  <c r="Q18" i="1"/>
  <c r="R17" i="1"/>
  <c r="AA17" i="21"/>
  <c r="AL18" i="17"/>
  <c r="AK19" i="17"/>
  <c r="AH15" i="23"/>
  <c r="AI14" i="23"/>
  <c r="AG30" i="17"/>
  <c r="AB16" i="18"/>
  <c r="AA15" i="23"/>
  <c r="AF18" i="18"/>
  <c r="AG17" i="18"/>
  <c r="AJ13" i="23"/>
  <c r="BH13" i="23"/>
  <c r="AH18" i="21"/>
  <c r="AI17" i="21"/>
  <c r="AE15" i="23"/>
  <c r="AF14" i="23"/>
  <c r="M18" i="17" l="1"/>
  <c r="K13" i="16"/>
  <c r="K26" i="16"/>
  <c r="J9" i="16"/>
  <c r="C8" i="16"/>
  <c r="AQ10" i="16"/>
  <c r="AR10" i="16"/>
  <c r="AF10" i="16"/>
  <c r="AE10" i="16"/>
  <c r="AB10" i="16"/>
  <c r="AD10" i="16"/>
  <c r="AG10" i="16"/>
  <c r="U10" i="16"/>
  <c r="V10" i="16"/>
  <c r="AS10" i="16"/>
  <c r="AN10" i="16"/>
  <c r="AP10" i="16"/>
  <c r="R10" i="16"/>
  <c r="I10" i="16"/>
  <c r="AH10" i="16"/>
  <c r="AI10" i="16"/>
  <c r="AM10" i="16"/>
  <c r="AJ10" i="16"/>
  <c r="AK10" i="16"/>
  <c r="AL10" i="16"/>
  <c r="C15" i="1"/>
  <c r="BL15" i="18"/>
  <c r="AB16" i="1"/>
  <c r="BA16" i="1"/>
  <c r="AY16" i="44"/>
  <c r="AZ15" i="44"/>
  <c r="AJ14" i="44"/>
  <c r="BH14" i="44"/>
  <c r="AM16" i="44"/>
  <c r="AN15" i="44"/>
  <c r="AN17" i="21"/>
  <c r="AE16" i="44"/>
  <c r="AF15" i="44"/>
  <c r="C16" i="44"/>
  <c r="AA16" i="44"/>
  <c r="AQ16" i="44"/>
  <c r="AR15" i="44"/>
  <c r="AV14" i="44"/>
  <c r="AT16" i="44"/>
  <c r="AU15" i="44"/>
  <c r="AH16" i="44"/>
  <c r="AI15" i="44"/>
  <c r="AJ17" i="18"/>
  <c r="AK16" i="18"/>
  <c r="AL19" i="21"/>
  <c r="AM18" i="21"/>
  <c r="AS18" i="18"/>
  <c r="AQ19" i="18"/>
  <c r="AV16" i="23"/>
  <c r="AQ20" i="1"/>
  <c r="AS19" i="1"/>
  <c r="B17" i="23"/>
  <c r="B18" i="21"/>
  <c r="AI20" i="18"/>
  <c r="U17" i="18"/>
  <c r="V16" i="18"/>
  <c r="AI18" i="1"/>
  <c r="Q7" i="16"/>
  <c r="AM22" i="18"/>
  <c r="AJ16" i="1"/>
  <c r="AK15" i="1"/>
  <c r="AR16" i="21"/>
  <c r="AV16" i="21" s="1"/>
  <c r="AQ17" i="21"/>
  <c r="AZ16" i="21"/>
  <c r="AY17" i="21"/>
  <c r="C17" i="21"/>
  <c r="AN17" i="18"/>
  <c r="AO16" i="18"/>
  <c r="A11" i="16"/>
  <c r="AR17" i="17"/>
  <c r="AT16" i="17"/>
  <c r="AN19" i="23"/>
  <c r="AL20" i="23"/>
  <c r="AM17" i="1"/>
  <c r="AO16" i="1"/>
  <c r="AT18" i="21"/>
  <c r="AU17" i="21"/>
  <c r="AQ18" i="23"/>
  <c r="AR17" i="23"/>
  <c r="AT18" i="23"/>
  <c r="AU17" i="23"/>
  <c r="AY18" i="23"/>
  <c r="AZ17" i="23"/>
  <c r="B16" i="1"/>
  <c r="B9" i="16"/>
  <c r="C9" i="16" s="1"/>
  <c r="B17" i="18"/>
  <c r="AW19" i="17"/>
  <c r="AX18" i="17"/>
  <c r="AO19" i="17"/>
  <c r="AP18" i="17"/>
  <c r="AS19" i="17"/>
  <c r="AE17" i="21"/>
  <c r="AF17" i="1"/>
  <c r="AG16" i="1"/>
  <c r="Q18" i="21"/>
  <c r="P19" i="21"/>
  <c r="Z18" i="17"/>
  <c r="AA17" i="17"/>
  <c r="T16" i="23"/>
  <c r="U15" i="23"/>
  <c r="Y16" i="1"/>
  <c r="Z15" i="1"/>
  <c r="V18" i="17"/>
  <c r="W17" i="17"/>
  <c r="AD19" i="17"/>
  <c r="AE18" i="17"/>
  <c r="P16" i="23"/>
  <c r="Q15" i="23"/>
  <c r="Y18" i="18"/>
  <c r="Z17" i="18"/>
  <c r="T17" i="21"/>
  <c r="U16" i="21"/>
  <c r="I17" i="18"/>
  <c r="J16" i="18"/>
  <c r="Q18" i="18"/>
  <c r="R17" i="18"/>
  <c r="M18" i="1"/>
  <c r="N17" i="1"/>
  <c r="X17" i="21"/>
  <c r="Y16" i="21"/>
  <c r="L16" i="23"/>
  <c r="M15" i="23"/>
  <c r="X16" i="23"/>
  <c r="Y15" i="23"/>
  <c r="J16" i="1"/>
  <c r="I17" i="1"/>
  <c r="M17" i="18"/>
  <c r="N16" i="18"/>
  <c r="Q19" i="1"/>
  <c r="R18" i="1"/>
  <c r="L17" i="21"/>
  <c r="M16" i="21"/>
  <c r="V17" i="1"/>
  <c r="U18" i="1"/>
  <c r="R19" i="17"/>
  <c r="S18" i="17"/>
  <c r="AE16" i="23"/>
  <c r="AF15" i="23"/>
  <c r="AH19" i="21"/>
  <c r="AI18" i="21"/>
  <c r="AB17" i="18"/>
  <c r="AF19" i="18"/>
  <c r="AG18" i="18"/>
  <c r="AA16" i="23"/>
  <c r="AK20" i="17"/>
  <c r="AL19" i="17"/>
  <c r="AG31" i="17"/>
  <c r="AH16" i="23"/>
  <c r="AI15" i="23"/>
  <c r="AJ14" i="23"/>
  <c r="BH14" i="23"/>
  <c r="AA18" i="21"/>
  <c r="K27" i="16" l="1"/>
  <c r="K14" i="16"/>
  <c r="M19" i="17"/>
  <c r="J10" i="16"/>
  <c r="AQ11" i="16"/>
  <c r="AR11" i="16"/>
  <c r="AF11" i="16"/>
  <c r="AE11" i="16"/>
  <c r="AG11" i="16"/>
  <c r="AD11" i="16"/>
  <c r="AB11" i="16"/>
  <c r="U11" i="16"/>
  <c r="V11" i="16"/>
  <c r="AS11" i="16"/>
  <c r="AN11" i="16"/>
  <c r="AP11" i="16"/>
  <c r="R11" i="16"/>
  <c r="I11" i="16"/>
  <c r="AH11" i="16"/>
  <c r="AI11" i="16"/>
  <c r="AJ11" i="16"/>
  <c r="AM11" i="16"/>
  <c r="AK11" i="16"/>
  <c r="AL11" i="16"/>
  <c r="C16" i="1"/>
  <c r="BL16" i="18"/>
  <c r="AV15" i="44"/>
  <c r="BA17" i="1"/>
  <c r="AB17" i="1"/>
  <c r="AN18" i="21"/>
  <c r="AA17" i="44"/>
  <c r="AT17" i="44"/>
  <c r="AU16" i="44"/>
  <c r="AE17" i="44"/>
  <c r="AF16" i="44"/>
  <c r="C17" i="44"/>
  <c r="AY17" i="44"/>
  <c r="AZ16" i="44"/>
  <c r="AQ17" i="44"/>
  <c r="AR16" i="44"/>
  <c r="AH17" i="44"/>
  <c r="AI16" i="44"/>
  <c r="AJ15" i="44"/>
  <c r="BH15" i="44"/>
  <c r="AM17" i="44"/>
  <c r="AN16" i="44"/>
  <c r="AJ18" i="18"/>
  <c r="AK17" i="18"/>
  <c r="AS19" i="18"/>
  <c r="AQ20" i="18"/>
  <c r="AO17" i="1"/>
  <c r="AM18" i="1"/>
  <c r="A12" i="16"/>
  <c r="AM23" i="18"/>
  <c r="AV17" i="23"/>
  <c r="C18" i="21"/>
  <c r="AZ17" i="21"/>
  <c r="AY18" i="21"/>
  <c r="B18" i="23"/>
  <c r="B19" i="21"/>
  <c r="AM19" i="21"/>
  <c r="AI21" i="18"/>
  <c r="AN18" i="18"/>
  <c r="AO17" i="18"/>
  <c r="AI19" i="1"/>
  <c r="AJ17" i="1"/>
  <c r="AK16" i="1"/>
  <c r="AN20" i="23"/>
  <c r="AL21" i="23"/>
  <c r="AT19" i="21"/>
  <c r="AU18" i="21"/>
  <c r="AR18" i="17"/>
  <c r="AT17" i="17"/>
  <c r="U18" i="18"/>
  <c r="V17" i="18"/>
  <c r="AQ18" i="21"/>
  <c r="AR17" i="21"/>
  <c r="AV17" i="21" s="1"/>
  <c r="AS20" i="1"/>
  <c r="AQ21" i="1"/>
  <c r="AL20" i="21"/>
  <c r="AQ19" i="23"/>
  <c r="AR18" i="23"/>
  <c r="AU18" i="23"/>
  <c r="AT19" i="23"/>
  <c r="AZ18" i="23"/>
  <c r="AY19" i="23"/>
  <c r="B18" i="18"/>
  <c r="B17" i="1"/>
  <c r="B10" i="16"/>
  <c r="C10" i="16" s="1"/>
  <c r="AW20" i="17"/>
  <c r="AX19" i="17"/>
  <c r="AS20" i="17"/>
  <c r="AO20" i="17"/>
  <c r="AP19" i="17"/>
  <c r="AG17" i="1"/>
  <c r="AF18" i="1"/>
  <c r="AE18" i="21"/>
  <c r="Q8" i="16"/>
  <c r="P20" i="21"/>
  <c r="Q19" i="21"/>
  <c r="R20" i="17"/>
  <c r="S19" i="17"/>
  <c r="Q20" i="1"/>
  <c r="R19" i="1"/>
  <c r="V18" i="1"/>
  <c r="U19" i="1"/>
  <c r="X17" i="23"/>
  <c r="Y16" i="23"/>
  <c r="X18" i="21"/>
  <c r="Y17" i="21"/>
  <c r="N18" i="1"/>
  <c r="M19" i="1"/>
  <c r="W18" i="17"/>
  <c r="V19" i="17"/>
  <c r="L18" i="21"/>
  <c r="M17" i="21"/>
  <c r="I18" i="18"/>
  <c r="J17" i="18"/>
  <c r="T18" i="21"/>
  <c r="U17" i="21"/>
  <c r="Y19" i="18"/>
  <c r="Z18" i="18"/>
  <c r="Z19" i="17"/>
  <c r="AA18" i="17"/>
  <c r="J17" i="1"/>
  <c r="I18" i="1"/>
  <c r="R18" i="18"/>
  <c r="Q19" i="18"/>
  <c r="P17" i="23"/>
  <c r="Q16" i="23"/>
  <c r="Y17" i="1"/>
  <c r="Z16" i="1"/>
  <c r="T17" i="23"/>
  <c r="U16" i="23"/>
  <c r="M18" i="18"/>
  <c r="N17" i="18"/>
  <c r="L17" i="23"/>
  <c r="M16" i="23"/>
  <c r="AD20" i="17"/>
  <c r="AE19" i="17"/>
  <c r="AG32" i="17"/>
  <c r="AF20" i="18"/>
  <c r="AG19" i="18"/>
  <c r="AH20" i="21"/>
  <c r="AI19" i="21"/>
  <c r="AA19" i="21"/>
  <c r="AK21" i="17"/>
  <c r="AL20" i="17"/>
  <c r="AJ15" i="23"/>
  <c r="BH15" i="23"/>
  <c r="AH17" i="23"/>
  <c r="AI16" i="23"/>
  <c r="AA17" i="23"/>
  <c r="AB18" i="18"/>
  <c r="AE17" i="23"/>
  <c r="AF16" i="23"/>
  <c r="M20" i="17" l="1"/>
  <c r="K15" i="16"/>
  <c r="K28" i="16"/>
  <c r="J11" i="16"/>
  <c r="AQ12" i="16"/>
  <c r="AR12" i="16"/>
  <c r="AF12" i="16"/>
  <c r="AE12" i="16"/>
  <c r="AD12" i="16"/>
  <c r="AG12" i="16"/>
  <c r="AB12" i="16"/>
  <c r="U12" i="16"/>
  <c r="V12" i="16"/>
  <c r="AS12" i="16"/>
  <c r="AP12" i="16"/>
  <c r="AN12" i="16"/>
  <c r="R12" i="16"/>
  <c r="I12" i="16"/>
  <c r="AH12" i="16"/>
  <c r="AI12" i="16"/>
  <c r="AJ12" i="16"/>
  <c r="AM12" i="16"/>
  <c r="AK12" i="16"/>
  <c r="AL12" i="16"/>
  <c r="C17" i="1"/>
  <c r="BL17" i="18"/>
  <c r="AB18" i="1"/>
  <c r="BA18" i="1"/>
  <c r="AQ18" i="44"/>
  <c r="AR17" i="44"/>
  <c r="AA18" i="44"/>
  <c r="AN19" i="21"/>
  <c r="AH18" i="44"/>
  <c r="AI17" i="44"/>
  <c r="C18" i="44"/>
  <c r="AY18" i="44"/>
  <c r="AZ17" i="44"/>
  <c r="AM18" i="44"/>
  <c r="AN17" i="44"/>
  <c r="AJ16" i="44"/>
  <c r="BH16" i="44"/>
  <c r="AE18" i="44"/>
  <c r="AF17" i="44"/>
  <c r="AV16" i="44"/>
  <c r="AT18" i="44"/>
  <c r="AU17" i="44"/>
  <c r="AJ19" i="18"/>
  <c r="AK18" i="18"/>
  <c r="AV18" i="23"/>
  <c r="AI22" i="18"/>
  <c r="AZ18" i="21"/>
  <c r="AY19" i="21"/>
  <c r="AT20" i="21"/>
  <c r="AU19" i="21"/>
  <c r="AM19" i="1"/>
  <c r="AO18" i="1"/>
  <c r="AQ22" i="1"/>
  <c r="AS21" i="1"/>
  <c r="AN19" i="18"/>
  <c r="AO18" i="18"/>
  <c r="C19" i="21"/>
  <c r="AS20" i="18"/>
  <c r="AQ21" i="18"/>
  <c r="V18" i="18"/>
  <c r="U19" i="18"/>
  <c r="B19" i="23"/>
  <c r="B20" i="21"/>
  <c r="AM20" i="21"/>
  <c r="AL21" i="21"/>
  <c r="AI20" i="1"/>
  <c r="AM24" i="18"/>
  <c r="AR18" i="21"/>
  <c r="AV18" i="21" s="1"/>
  <c r="AQ19" i="21"/>
  <c r="AJ18" i="1"/>
  <c r="AK17" i="1"/>
  <c r="AR19" i="17"/>
  <c r="AT18" i="17"/>
  <c r="AN21" i="23"/>
  <c r="AL22" i="23"/>
  <c r="A13" i="16"/>
  <c r="AR19" i="23"/>
  <c r="AQ20" i="23"/>
  <c r="AU19" i="23"/>
  <c r="AT20" i="23"/>
  <c r="AY20" i="23"/>
  <c r="AZ19" i="23"/>
  <c r="B18" i="1"/>
  <c r="B19" i="18"/>
  <c r="B11" i="16"/>
  <c r="C11" i="16" s="1"/>
  <c r="AW21" i="17"/>
  <c r="AX20" i="17"/>
  <c r="AO21" i="17"/>
  <c r="AP20" i="17"/>
  <c r="AS21" i="17"/>
  <c r="AG18" i="1"/>
  <c r="AF19" i="1"/>
  <c r="AE19" i="21"/>
  <c r="P21" i="21"/>
  <c r="Q20" i="21"/>
  <c r="Q9" i="16"/>
  <c r="T18" i="23"/>
  <c r="U17" i="23"/>
  <c r="P18" i="23"/>
  <c r="Q17" i="23"/>
  <c r="Z20" i="17"/>
  <c r="AA19" i="17"/>
  <c r="Y20" i="18"/>
  <c r="Z19" i="18"/>
  <c r="I19" i="18"/>
  <c r="J18" i="18"/>
  <c r="X18" i="23"/>
  <c r="Y17" i="23"/>
  <c r="U20" i="1"/>
  <c r="V19" i="1"/>
  <c r="AD21" i="17"/>
  <c r="AE20" i="17"/>
  <c r="L18" i="23"/>
  <c r="M17" i="23"/>
  <c r="R19" i="18"/>
  <c r="Q20" i="18"/>
  <c r="V20" i="17"/>
  <c r="W19" i="17"/>
  <c r="Q21" i="1"/>
  <c r="R20" i="1"/>
  <c r="Z17" i="1"/>
  <c r="Y18" i="1"/>
  <c r="T19" i="21"/>
  <c r="U18" i="21"/>
  <c r="L19" i="21"/>
  <c r="M18" i="21"/>
  <c r="X19" i="21"/>
  <c r="Y18" i="21"/>
  <c r="M19" i="18"/>
  <c r="N18" i="18"/>
  <c r="J18" i="1"/>
  <c r="I19" i="1"/>
  <c r="M20" i="1"/>
  <c r="N19" i="1"/>
  <c r="S20" i="17"/>
  <c r="R21" i="17"/>
  <c r="AJ16" i="23"/>
  <c r="BH16" i="23"/>
  <c r="AH18" i="23"/>
  <c r="AI17" i="23"/>
  <c r="AE18" i="23"/>
  <c r="AF17" i="23"/>
  <c r="AB19" i="18"/>
  <c r="AA20" i="21"/>
  <c r="AH21" i="21"/>
  <c r="AI20" i="21"/>
  <c r="AG20" i="18"/>
  <c r="AF21" i="18"/>
  <c r="AA18" i="23"/>
  <c r="AL21" i="17"/>
  <c r="AK22" i="17"/>
  <c r="AG33" i="17"/>
  <c r="K29" i="16" l="1"/>
  <c r="K17" i="16"/>
  <c r="K16" i="16"/>
  <c r="M21" i="17"/>
  <c r="J12" i="16"/>
  <c r="AQ13" i="16"/>
  <c r="AR13" i="16"/>
  <c r="AF13" i="16"/>
  <c r="AE13" i="16"/>
  <c r="AG13" i="16"/>
  <c r="AD13" i="16"/>
  <c r="AB13" i="16"/>
  <c r="U13" i="16"/>
  <c r="V13" i="16"/>
  <c r="AS13" i="16"/>
  <c r="AP13" i="16"/>
  <c r="AN13" i="16"/>
  <c r="R13" i="16"/>
  <c r="I13" i="16"/>
  <c r="AI13" i="16"/>
  <c r="AH13" i="16"/>
  <c r="AJ13" i="16"/>
  <c r="AM13" i="16"/>
  <c r="AK13" i="16"/>
  <c r="AL13" i="16"/>
  <c r="C18" i="1"/>
  <c r="BL18" i="18"/>
  <c r="BA19" i="1"/>
  <c r="AB19" i="1"/>
  <c r="AJ17" i="44"/>
  <c r="BH17" i="44"/>
  <c r="AM19" i="44"/>
  <c r="AN18" i="44"/>
  <c r="AQ19" i="44"/>
  <c r="AR18" i="44"/>
  <c r="AE19" i="44"/>
  <c r="AF18" i="44"/>
  <c r="AN20" i="21"/>
  <c r="AV17" i="44"/>
  <c r="AY19" i="44"/>
  <c r="AZ18" i="44"/>
  <c r="C19" i="44"/>
  <c r="AT19" i="44"/>
  <c r="AU18" i="44"/>
  <c r="AH19" i="44"/>
  <c r="AI18" i="44"/>
  <c r="AA19" i="44"/>
  <c r="AJ20" i="18"/>
  <c r="AK19" i="18"/>
  <c r="AV19" i="23"/>
  <c r="AY20" i="21"/>
  <c r="AZ19" i="21"/>
  <c r="V19" i="18"/>
  <c r="U20" i="18"/>
  <c r="AN20" i="18"/>
  <c r="AO19" i="18"/>
  <c r="AM20" i="1"/>
  <c r="AO19" i="1"/>
  <c r="AL22" i="21"/>
  <c r="AR20" i="17"/>
  <c r="AT19" i="17"/>
  <c r="AQ20" i="21"/>
  <c r="AR19" i="21"/>
  <c r="AV19" i="21" s="1"/>
  <c r="AI21" i="1"/>
  <c r="C20" i="21"/>
  <c r="AJ19" i="1"/>
  <c r="AK18" i="1"/>
  <c r="AM25" i="18"/>
  <c r="AN22" i="23"/>
  <c r="AL23" i="23"/>
  <c r="AS22" i="1"/>
  <c r="AQ23" i="1"/>
  <c r="AT21" i="21"/>
  <c r="AU20" i="21"/>
  <c r="AI23" i="18"/>
  <c r="B20" i="23"/>
  <c r="B21" i="21"/>
  <c r="AM21" i="21"/>
  <c r="A14" i="16"/>
  <c r="AS21" i="18"/>
  <c r="AQ22" i="18"/>
  <c r="AQ21" i="23"/>
  <c r="AR20" i="23"/>
  <c r="AU20" i="23"/>
  <c r="AT21" i="23"/>
  <c r="AZ20" i="23"/>
  <c r="AY21" i="23"/>
  <c r="B12" i="16"/>
  <c r="C12" i="16" s="1"/>
  <c r="B19" i="1"/>
  <c r="B20" i="18"/>
  <c r="AX21" i="17"/>
  <c r="AW22" i="17"/>
  <c r="AS22" i="17"/>
  <c r="AO22" i="17"/>
  <c r="AP21" i="17"/>
  <c r="AE20" i="21"/>
  <c r="AF20" i="1"/>
  <c r="AG19" i="1"/>
  <c r="P22" i="21"/>
  <c r="Q21" i="21"/>
  <c r="M20" i="18"/>
  <c r="N19" i="18"/>
  <c r="AE21" i="17"/>
  <c r="AD22" i="17"/>
  <c r="Q10" i="16"/>
  <c r="P19" i="23"/>
  <c r="Q18" i="23"/>
  <c r="R22" i="17"/>
  <c r="S21" i="17"/>
  <c r="L20" i="21"/>
  <c r="M19" i="21"/>
  <c r="T20" i="21"/>
  <c r="U19" i="21"/>
  <c r="Y19" i="1"/>
  <c r="Z18" i="1"/>
  <c r="Q22" i="1"/>
  <c r="R21" i="1"/>
  <c r="U21" i="1"/>
  <c r="V20" i="1"/>
  <c r="I20" i="18"/>
  <c r="J19" i="18"/>
  <c r="Z21" i="17"/>
  <c r="AA20" i="17"/>
  <c r="N20" i="1"/>
  <c r="M21" i="1"/>
  <c r="X20" i="21"/>
  <c r="Y19" i="21"/>
  <c r="L19" i="23"/>
  <c r="M18" i="23"/>
  <c r="T19" i="23"/>
  <c r="U18" i="23"/>
  <c r="I20" i="1"/>
  <c r="J19" i="1"/>
  <c r="V21" i="17"/>
  <c r="W20" i="17"/>
  <c r="Q21" i="18"/>
  <c r="R20" i="18"/>
  <c r="X19" i="23"/>
  <c r="Y18" i="23"/>
  <c r="Y21" i="18"/>
  <c r="Z20" i="18"/>
  <c r="AG34" i="17"/>
  <c r="AA19" i="23"/>
  <c r="AH22" i="21"/>
  <c r="AI21" i="21"/>
  <c r="AJ17" i="23"/>
  <c r="BH17" i="23"/>
  <c r="AF22" i="18"/>
  <c r="AG21" i="18"/>
  <c r="AA21" i="21"/>
  <c r="AE19" i="23"/>
  <c r="AF18" i="23"/>
  <c r="AH19" i="23"/>
  <c r="AI18" i="23"/>
  <c r="AK23" i="17"/>
  <c r="AL22" i="17"/>
  <c r="AB20" i="18"/>
  <c r="M22" i="17" l="1"/>
  <c r="K30" i="16"/>
  <c r="J13" i="16"/>
  <c r="AQ14" i="16"/>
  <c r="AR14" i="16"/>
  <c r="AF14" i="16"/>
  <c r="AE14" i="16"/>
  <c r="AG14" i="16"/>
  <c r="AB14" i="16"/>
  <c r="AD14" i="16"/>
  <c r="U14" i="16"/>
  <c r="V14" i="16"/>
  <c r="AS14" i="16"/>
  <c r="AP14" i="16"/>
  <c r="AN14" i="16"/>
  <c r="R14" i="16"/>
  <c r="I14" i="16"/>
  <c r="AH14" i="16"/>
  <c r="AI14" i="16"/>
  <c r="AJ14" i="16"/>
  <c r="AK14" i="16"/>
  <c r="AM14" i="16"/>
  <c r="AL14" i="16"/>
  <c r="F19" i="1"/>
  <c r="C19" i="1"/>
  <c r="BL19" i="18"/>
  <c r="AC19" i="1"/>
  <c r="AB20" i="1"/>
  <c r="AV18" i="44"/>
  <c r="BA20" i="1"/>
  <c r="BB19" i="1"/>
  <c r="AN21" i="21"/>
  <c r="AM20" i="44"/>
  <c r="AN19" i="44"/>
  <c r="AY20" i="44"/>
  <c r="AZ19" i="44"/>
  <c r="AJ18" i="44"/>
  <c r="BH18" i="44"/>
  <c r="AT20" i="44"/>
  <c r="AU19" i="44"/>
  <c r="AE20" i="44"/>
  <c r="AF19" i="44"/>
  <c r="AA20" i="44"/>
  <c r="AH20" i="44"/>
  <c r="AI19" i="44"/>
  <c r="C20" i="44"/>
  <c r="AQ20" i="44"/>
  <c r="AR19" i="44"/>
  <c r="AJ21" i="18"/>
  <c r="AK20" i="18"/>
  <c r="AV20" i="23"/>
  <c r="AN21" i="18"/>
  <c r="AO20" i="18"/>
  <c r="AU21" i="21"/>
  <c r="AT22" i="21"/>
  <c r="AM26" i="18"/>
  <c r="AQ21" i="21"/>
  <c r="AR20" i="21"/>
  <c r="AV20" i="21" s="1"/>
  <c r="A15" i="16"/>
  <c r="AR21" i="17"/>
  <c r="AT20" i="17"/>
  <c r="AL23" i="21"/>
  <c r="AQ23" i="18"/>
  <c r="AS22" i="18"/>
  <c r="AJ20" i="1"/>
  <c r="AK19" i="1"/>
  <c r="AO20" i="1"/>
  <c r="AM21" i="1"/>
  <c r="U21" i="18"/>
  <c r="V20" i="18"/>
  <c r="AI22" i="1"/>
  <c r="AS23" i="1"/>
  <c r="AQ24" i="1"/>
  <c r="AZ20" i="21"/>
  <c r="AY21" i="21"/>
  <c r="Q11" i="16"/>
  <c r="AM22" i="21"/>
  <c r="B21" i="23"/>
  <c r="B22" i="21"/>
  <c r="AI24" i="18"/>
  <c r="AN23" i="23"/>
  <c r="AL24" i="23"/>
  <c r="C21" i="21"/>
  <c r="AQ22" i="23"/>
  <c r="AR21" i="23"/>
  <c r="AT22" i="23"/>
  <c r="AU21" i="23"/>
  <c r="AY22" i="23"/>
  <c r="AZ21" i="23"/>
  <c r="B20" i="1"/>
  <c r="B21" i="18"/>
  <c r="B13" i="16"/>
  <c r="C13" i="16" s="1"/>
  <c r="AW23" i="17"/>
  <c r="AX22" i="17"/>
  <c r="AO23" i="17"/>
  <c r="AP22" i="17"/>
  <c r="AS23" i="17"/>
  <c r="AE21" i="21"/>
  <c r="AF21" i="1"/>
  <c r="AG20" i="1"/>
  <c r="Q22" i="21"/>
  <c r="P23" i="21"/>
  <c r="Q22" i="18"/>
  <c r="R21" i="18"/>
  <c r="T20" i="23"/>
  <c r="U19" i="23"/>
  <c r="I21" i="18"/>
  <c r="J20" i="18"/>
  <c r="U22" i="1"/>
  <c r="V21" i="1"/>
  <c r="Y20" i="1"/>
  <c r="Z19" i="1"/>
  <c r="L21" i="21"/>
  <c r="M20" i="21"/>
  <c r="R23" i="17"/>
  <c r="S22" i="17"/>
  <c r="J20" i="1"/>
  <c r="I21" i="1"/>
  <c r="M22" i="1"/>
  <c r="N21" i="1"/>
  <c r="Y22" i="18"/>
  <c r="Z21" i="18"/>
  <c r="X20" i="23"/>
  <c r="Y19" i="23"/>
  <c r="V22" i="17"/>
  <c r="W21" i="17"/>
  <c r="M19" i="23"/>
  <c r="L20" i="23"/>
  <c r="X21" i="21"/>
  <c r="Y20" i="21"/>
  <c r="Z22" i="17"/>
  <c r="AA21" i="17"/>
  <c r="Q23" i="1"/>
  <c r="R22" i="1"/>
  <c r="T21" i="21"/>
  <c r="U20" i="21"/>
  <c r="P20" i="23"/>
  <c r="Q19" i="23"/>
  <c r="AD23" i="17"/>
  <c r="AE22" i="17"/>
  <c r="M21" i="18"/>
  <c r="N20" i="18"/>
  <c r="AB21" i="18"/>
  <c r="AK24" i="17"/>
  <c r="AL23" i="17"/>
  <c r="AJ18" i="23"/>
  <c r="BH18" i="23"/>
  <c r="AH23" i="21"/>
  <c r="AI22" i="21"/>
  <c r="AE20" i="23"/>
  <c r="AF19" i="23"/>
  <c r="AF23" i="18"/>
  <c r="AG22" i="18"/>
  <c r="AA20" i="23"/>
  <c r="AH20" i="23"/>
  <c r="AI19" i="23"/>
  <c r="AA22" i="21"/>
  <c r="AG35" i="17"/>
  <c r="K31" i="16" l="1"/>
  <c r="M23" i="17"/>
  <c r="J14" i="16"/>
  <c r="AQ15" i="16"/>
  <c r="AR15" i="16"/>
  <c r="AF15" i="16"/>
  <c r="AE15" i="16"/>
  <c r="AD15" i="16"/>
  <c r="AB15" i="16"/>
  <c r="U15" i="16"/>
  <c r="AG15" i="16"/>
  <c r="V15" i="16"/>
  <c r="AS15" i="16"/>
  <c r="AN15" i="16"/>
  <c r="AP15" i="16"/>
  <c r="R15" i="16"/>
  <c r="I15" i="16"/>
  <c r="AH15" i="16"/>
  <c r="AI15" i="16"/>
  <c r="AJ15" i="16"/>
  <c r="AM15" i="16"/>
  <c r="AK15" i="16"/>
  <c r="AL15" i="16"/>
  <c r="C20" i="1"/>
  <c r="BL20" i="18"/>
  <c r="BA21" i="1"/>
  <c r="AB21" i="1"/>
  <c r="AA21" i="44"/>
  <c r="AM21" i="44"/>
  <c r="AN20" i="44"/>
  <c r="AE21" i="44"/>
  <c r="AF20" i="44"/>
  <c r="AY21" i="44"/>
  <c r="AZ20" i="44"/>
  <c r="C21" i="44"/>
  <c r="AQ21" i="44"/>
  <c r="AR20" i="44"/>
  <c r="AV19" i="44"/>
  <c r="AJ19" i="44"/>
  <c r="BH19" i="44"/>
  <c r="AH21" i="44"/>
  <c r="AI20" i="44"/>
  <c r="AT21" i="44"/>
  <c r="AU20" i="44"/>
  <c r="AV20" i="44" s="1"/>
  <c r="AJ22" i="18"/>
  <c r="AK21" i="18"/>
  <c r="AT23" i="21"/>
  <c r="AU22" i="21"/>
  <c r="AQ22" i="21"/>
  <c r="AR21" i="21"/>
  <c r="AV21" i="21" s="1"/>
  <c r="A16" i="16"/>
  <c r="AI25" i="18"/>
  <c r="AS24" i="1"/>
  <c r="AQ25" i="1"/>
  <c r="AS23" i="18"/>
  <c r="AQ24" i="18"/>
  <c r="AN22" i="18"/>
  <c r="AO21" i="18"/>
  <c r="AM22" i="1"/>
  <c r="AO21" i="1"/>
  <c r="AY22" i="21"/>
  <c r="AZ21" i="21"/>
  <c r="AI23" i="1"/>
  <c r="AR22" i="17"/>
  <c r="AT21" i="17"/>
  <c r="AN24" i="23"/>
  <c r="AL25" i="23"/>
  <c r="AM23" i="21"/>
  <c r="U22" i="18"/>
  <c r="V21" i="18"/>
  <c r="AL24" i="21"/>
  <c r="C22" i="21"/>
  <c r="AM27" i="18"/>
  <c r="B22" i="23"/>
  <c r="B23" i="21"/>
  <c r="AJ21" i="1"/>
  <c r="AK20" i="1"/>
  <c r="AN22" i="21"/>
  <c r="AQ23" i="23"/>
  <c r="AR22" i="23"/>
  <c r="AV21" i="23"/>
  <c r="AU22" i="23"/>
  <c r="AT23" i="23"/>
  <c r="AY23" i="23"/>
  <c r="AZ22" i="23"/>
  <c r="B22" i="18"/>
  <c r="B21" i="1"/>
  <c r="B14" i="16"/>
  <c r="C14" i="16" s="1"/>
  <c r="AW24" i="17"/>
  <c r="AX23" i="17"/>
  <c r="AO24" i="17"/>
  <c r="AP23" i="17"/>
  <c r="AS24" i="17"/>
  <c r="Q12" i="16"/>
  <c r="AF22" i="1"/>
  <c r="AG21" i="1"/>
  <c r="AE22" i="21"/>
  <c r="AF21" i="21"/>
  <c r="AJ21" i="21" s="1"/>
  <c r="P24" i="21"/>
  <c r="Q23" i="21"/>
  <c r="M22" i="18"/>
  <c r="N21" i="18"/>
  <c r="L21" i="23"/>
  <c r="M20" i="23"/>
  <c r="T21" i="23"/>
  <c r="U20" i="23"/>
  <c r="P21" i="23"/>
  <c r="Q20" i="23"/>
  <c r="T22" i="21"/>
  <c r="U21" i="21"/>
  <c r="X22" i="21"/>
  <c r="Y21" i="21"/>
  <c r="V23" i="17"/>
  <c r="W22" i="17"/>
  <c r="Z22" i="18"/>
  <c r="Y23" i="18"/>
  <c r="N22" i="1"/>
  <c r="M23" i="1"/>
  <c r="R24" i="17"/>
  <c r="S23" i="17"/>
  <c r="Y21" i="1"/>
  <c r="Z20" i="1"/>
  <c r="I22" i="18"/>
  <c r="J21" i="18"/>
  <c r="I22" i="1"/>
  <c r="J21" i="1"/>
  <c r="R22" i="18"/>
  <c r="Q23" i="18"/>
  <c r="AD24" i="17"/>
  <c r="AE23" i="17"/>
  <c r="Q24" i="1"/>
  <c r="R23" i="1"/>
  <c r="AA22" i="17"/>
  <c r="Z23" i="17"/>
  <c r="Y20" i="23"/>
  <c r="X21" i="23"/>
  <c r="L22" i="21"/>
  <c r="M21" i="21"/>
  <c r="U23" i="1"/>
  <c r="V22" i="1"/>
  <c r="AG36" i="17"/>
  <c r="AE21" i="23"/>
  <c r="AF20" i="23"/>
  <c r="AH21" i="23"/>
  <c r="AI20" i="23"/>
  <c r="AA21" i="23"/>
  <c r="AH24" i="21"/>
  <c r="AI23" i="21"/>
  <c r="AK25" i="17"/>
  <c r="AL24" i="17"/>
  <c r="AF24" i="18"/>
  <c r="AG23" i="18"/>
  <c r="AB22" i="18"/>
  <c r="AA23" i="21"/>
  <c r="AJ19" i="23"/>
  <c r="BH19" i="23"/>
  <c r="M24" i="17" l="1"/>
  <c r="K32" i="16"/>
  <c r="J15" i="16"/>
  <c r="AQ16" i="16"/>
  <c r="AR16" i="16"/>
  <c r="AF16" i="16"/>
  <c r="AE16" i="16"/>
  <c r="AB16" i="16"/>
  <c r="U16" i="16"/>
  <c r="AG16" i="16"/>
  <c r="AD16" i="16"/>
  <c r="V16" i="16"/>
  <c r="AS16" i="16"/>
  <c r="AN16" i="16"/>
  <c r="AP16" i="16"/>
  <c r="R16" i="16"/>
  <c r="I16" i="16"/>
  <c r="AH16" i="16"/>
  <c r="AI16" i="16"/>
  <c r="AJ16" i="16"/>
  <c r="AM16" i="16"/>
  <c r="AK16" i="16"/>
  <c r="AL16" i="16"/>
  <c r="C21" i="1"/>
  <c r="BL21" i="18"/>
  <c r="AB22" i="1"/>
  <c r="BA22" i="1"/>
  <c r="C22" i="44"/>
  <c r="AJ20" i="44"/>
  <c r="BH20" i="44"/>
  <c r="AE22" i="44"/>
  <c r="AF21" i="44"/>
  <c r="AA22" i="44"/>
  <c r="AH22" i="44"/>
  <c r="AI21" i="44"/>
  <c r="AM22" i="44"/>
  <c r="AN21" i="44"/>
  <c r="AQ22" i="44"/>
  <c r="AR21" i="44"/>
  <c r="AT22" i="44"/>
  <c r="AU21" i="44"/>
  <c r="AY22" i="44"/>
  <c r="AZ21" i="44"/>
  <c r="AJ23" i="18"/>
  <c r="AK22" i="18"/>
  <c r="AY23" i="21"/>
  <c r="AZ22" i="21"/>
  <c r="AM24" i="21"/>
  <c r="AM23" i="1"/>
  <c r="AO22" i="1"/>
  <c r="AR23" i="17"/>
  <c r="AT22" i="17"/>
  <c r="AJ22" i="1"/>
  <c r="AK21" i="1"/>
  <c r="AN23" i="18"/>
  <c r="AO22" i="18"/>
  <c r="AQ26" i="1"/>
  <c r="AS25" i="1"/>
  <c r="C23" i="21"/>
  <c r="AS24" i="18"/>
  <c r="AQ25" i="18"/>
  <c r="Q13" i="16"/>
  <c r="AN23" i="21"/>
  <c r="AN25" i="23"/>
  <c r="AL26" i="23"/>
  <c r="AI26" i="18"/>
  <c r="B23" i="23"/>
  <c r="B24" i="21"/>
  <c r="AL25" i="21"/>
  <c r="U23" i="18"/>
  <c r="V22" i="18"/>
  <c r="AR22" i="21"/>
  <c r="AV22" i="21" s="1"/>
  <c r="AQ23" i="21"/>
  <c r="AI24" i="1"/>
  <c r="A17" i="16"/>
  <c r="AT24" i="21"/>
  <c r="AU23" i="21"/>
  <c r="AM28" i="18"/>
  <c r="AR23" i="23"/>
  <c r="AQ24" i="23"/>
  <c r="AV22" i="23"/>
  <c r="AU23" i="23"/>
  <c r="AT24" i="23"/>
  <c r="AY24" i="23"/>
  <c r="AZ23" i="23"/>
  <c r="B22" i="1"/>
  <c r="B15" i="16"/>
  <c r="C15" i="16" s="1"/>
  <c r="B23" i="18"/>
  <c r="AW25" i="17"/>
  <c r="AX24" i="17"/>
  <c r="AS25" i="17"/>
  <c r="AO25" i="17"/>
  <c r="AP24" i="17"/>
  <c r="BH21" i="21"/>
  <c r="AE23" i="21"/>
  <c r="AF23" i="1"/>
  <c r="AG22" i="1"/>
  <c r="P25" i="21"/>
  <c r="Q24" i="21"/>
  <c r="L23" i="21"/>
  <c r="M22" i="21"/>
  <c r="Q24" i="18"/>
  <c r="R23" i="18"/>
  <c r="J22" i="1"/>
  <c r="I23" i="1"/>
  <c r="N23" i="1"/>
  <c r="M24" i="1"/>
  <c r="Z23" i="18"/>
  <c r="Y24" i="18"/>
  <c r="X22" i="23"/>
  <c r="Y21" i="23"/>
  <c r="Y22" i="1"/>
  <c r="Z21" i="1"/>
  <c r="Y22" i="21"/>
  <c r="X23" i="21"/>
  <c r="T23" i="21"/>
  <c r="U22" i="21"/>
  <c r="T22" i="23"/>
  <c r="U21" i="23"/>
  <c r="L22" i="23"/>
  <c r="M21" i="23"/>
  <c r="U24" i="1"/>
  <c r="V23" i="1"/>
  <c r="Q25" i="1"/>
  <c r="R24" i="1"/>
  <c r="AD25" i="17"/>
  <c r="AE24" i="17"/>
  <c r="AA23" i="17"/>
  <c r="Z24" i="17"/>
  <c r="I23" i="18"/>
  <c r="J22" i="18"/>
  <c r="R25" i="17"/>
  <c r="S24" i="17"/>
  <c r="V24" i="17"/>
  <c r="W23" i="17"/>
  <c r="Q21" i="23"/>
  <c r="P22" i="23"/>
  <c r="N22" i="18"/>
  <c r="M23" i="18"/>
  <c r="AH25" i="21"/>
  <c r="AI24" i="21"/>
  <c r="AA22" i="23"/>
  <c r="AG37" i="17"/>
  <c r="AA24" i="21"/>
  <c r="AH22" i="23"/>
  <c r="AI21" i="23"/>
  <c r="AJ20" i="23"/>
  <c r="BH20" i="23"/>
  <c r="AB23" i="18"/>
  <c r="AG24" i="18"/>
  <c r="AF25" i="18"/>
  <c r="AK26" i="17"/>
  <c r="AL25" i="17"/>
  <c r="AE22" i="23"/>
  <c r="AF21" i="23"/>
  <c r="K33" i="16" l="1"/>
  <c r="M25" i="17"/>
  <c r="J16" i="16"/>
  <c r="AQ17" i="16"/>
  <c r="AR17" i="16"/>
  <c r="AF17" i="16"/>
  <c r="AE17" i="16"/>
  <c r="AG17" i="16"/>
  <c r="AD17" i="16"/>
  <c r="AB17" i="16"/>
  <c r="U17" i="16"/>
  <c r="V17" i="16"/>
  <c r="AS17" i="16"/>
  <c r="AN17" i="16"/>
  <c r="AP17" i="16"/>
  <c r="R17" i="16"/>
  <c r="I17" i="16"/>
  <c r="AI17" i="16"/>
  <c r="AH17" i="16"/>
  <c r="AJ17" i="16"/>
  <c r="AM17" i="16"/>
  <c r="AK17" i="16"/>
  <c r="AL17" i="16"/>
  <c r="C22" i="1"/>
  <c r="BL22" i="18"/>
  <c r="BA23" i="1"/>
  <c r="AB23" i="1"/>
  <c r="AH23" i="44"/>
  <c r="AI22" i="44"/>
  <c r="AQ23" i="44"/>
  <c r="AR22" i="44"/>
  <c r="AA23" i="44"/>
  <c r="AM23" i="44"/>
  <c r="AN22" i="44"/>
  <c r="AJ21" i="44"/>
  <c r="BH21" i="44"/>
  <c r="C23" i="44"/>
  <c r="AV21" i="44"/>
  <c r="AE23" i="44"/>
  <c r="AF22" i="44"/>
  <c r="AY23" i="44"/>
  <c r="AZ22" i="44"/>
  <c r="AT23" i="44"/>
  <c r="AU22" i="44"/>
  <c r="AJ24" i="18"/>
  <c r="AK23" i="18"/>
  <c r="B24" i="23"/>
  <c r="B25" i="21"/>
  <c r="AN26" i="23"/>
  <c r="AL27" i="23"/>
  <c r="C24" i="21"/>
  <c r="AS25" i="18"/>
  <c r="AQ26" i="18"/>
  <c r="AN24" i="18"/>
  <c r="AO23" i="18"/>
  <c r="AM25" i="21"/>
  <c r="AN24" i="21"/>
  <c r="AL26" i="21"/>
  <c r="AI27" i="18"/>
  <c r="AJ23" i="1"/>
  <c r="AK22" i="1"/>
  <c r="AR24" i="17"/>
  <c r="AT23" i="17"/>
  <c r="AS26" i="1"/>
  <c r="AQ27" i="1"/>
  <c r="AT25" i="21"/>
  <c r="AU24" i="21"/>
  <c r="A18" i="16"/>
  <c r="V23" i="18"/>
  <c r="U24" i="18"/>
  <c r="AM29" i="18"/>
  <c r="AR23" i="21"/>
  <c r="AV23" i="21" s="1"/>
  <c r="AQ24" i="21"/>
  <c r="AV23" i="23"/>
  <c r="AI25" i="1"/>
  <c r="AO23" i="1"/>
  <c r="AM24" i="1"/>
  <c r="AY24" i="21"/>
  <c r="AZ23" i="21"/>
  <c r="AQ25" i="23"/>
  <c r="AR24" i="23"/>
  <c r="AU24" i="23"/>
  <c r="AT25" i="23"/>
  <c r="AY25" i="23"/>
  <c r="AZ24" i="23"/>
  <c r="B16" i="16"/>
  <c r="C16" i="16" s="1"/>
  <c r="B24" i="18"/>
  <c r="B23" i="1"/>
  <c r="AX25" i="17"/>
  <c r="AW26" i="17"/>
  <c r="AS26" i="17"/>
  <c r="AO26" i="17"/>
  <c r="AP25" i="17"/>
  <c r="Q14" i="16"/>
  <c r="AF24" i="1"/>
  <c r="AG23" i="1"/>
  <c r="AE24" i="21"/>
  <c r="P26" i="21"/>
  <c r="Q25" i="21"/>
  <c r="P23" i="23"/>
  <c r="Q22" i="23"/>
  <c r="X24" i="21"/>
  <c r="Y23" i="21"/>
  <c r="V25" i="17"/>
  <c r="W24" i="17"/>
  <c r="I24" i="18"/>
  <c r="J23" i="18"/>
  <c r="AD26" i="17"/>
  <c r="AE25" i="17"/>
  <c r="N24" i="1"/>
  <c r="M25" i="1"/>
  <c r="Q25" i="18"/>
  <c r="R24" i="18"/>
  <c r="M24" i="18"/>
  <c r="N23" i="18"/>
  <c r="Z25" i="17"/>
  <c r="AA24" i="17"/>
  <c r="R26" i="17"/>
  <c r="S25" i="17"/>
  <c r="Q26" i="1"/>
  <c r="R25" i="1"/>
  <c r="V24" i="1"/>
  <c r="U25" i="1"/>
  <c r="L23" i="23"/>
  <c r="M22" i="23"/>
  <c r="T23" i="23"/>
  <c r="U22" i="23"/>
  <c r="T24" i="21"/>
  <c r="U23" i="21"/>
  <c r="Y23" i="1"/>
  <c r="Z22" i="1"/>
  <c r="X23" i="23"/>
  <c r="Y22" i="23"/>
  <c r="Y25" i="18"/>
  <c r="Z24" i="18"/>
  <c r="I24" i="1"/>
  <c r="J23" i="1"/>
  <c r="L24" i="21"/>
  <c r="M23" i="21"/>
  <c r="AL26" i="17"/>
  <c r="AK27" i="17"/>
  <c r="AB24" i="18"/>
  <c r="AA23" i="23"/>
  <c r="BH21" i="23"/>
  <c r="AJ21" i="23"/>
  <c r="AF26" i="18"/>
  <c r="AG25" i="18"/>
  <c r="AA25" i="21"/>
  <c r="AG38" i="17"/>
  <c r="AE23" i="23"/>
  <c r="AF22" i="23"/>
  <c r="AH23" i="23"/>
  <c r="AI22" i="23"/>
  <c r="AH26" i="21"/>
  <c r="AI25" i="21"/>
  <c r="M26" i="17" l="1"/>
  <c r="J17" i="16"/>
  <c r="AQ18" i="16"/>
  <c r="AR18" i="16"/>
  <c r="AF18" i="16"/>
  <c r="AE18" i="16"/>
  <c r="AB18" i="16"/>
  <c r="U18" i="16"/>
  <c r="AG18" i="16"/>
  <c r="AD18" i="16"/>
  <c r="AA18" i="16"/>
  <c r="V18" i="16"/>
  <c r="AS18" i="16"/>
  <c r="AN18" i="16"/>
  <c r="AP18" i="16"/>
  <c r="R18" i="16"/>
  <c r="S18" i="16"/>
  <c r="T18" i="16"/>
  <c r="I18" i="16"/>
  <c r="AI18" i="16"/>
  <c r="AH18" i="16"/>
  <c r="AJ18" i="16"/>
  <c r="AM18" i="16"/>
  <c r="AK18" i="16"/>
  <c r="AL18" i="16"/>
  <c r="C23" i="1"/>
  <c r="BL23" i="18"/>
  <c r="AV22" i="44"/>
  <c r="AB24" i="1"/>
  <c r="Q15" i="16"/>
  <c r="BA24" i="1"/>
  <c r="C24" i="44"/>
  <c r="AA24" i="44"/>
  <c r="AM24" i="44"/>
  <c r="AN23" i="44"/>
  <c r="AY24" i="44"/>
  <c r="AZ23" i="44"/>
  <c r="AT24" i="44"/>
  <c r="AU23" i="44"/>
  <c r="AN25" i="21"/>
  <c r="AJ22" i="44"/>
  <c r="BH22" i="44"/>
  <c r="AH24" i="44"/>
  <c r="AI23" i="44"/>
  <c r="AE24" i="44"/>
  <c r="AF23" i="44"/>
  <c r="AQ24" i="44"/>
  <c r="AR23" i="44"/>
  <c r="AV24" i="23"/>
  <c r="AJ25" i="18"/>
  <c r="AK24" i="18"/>
  <c r="B25" i="23"/>
  <c r="B26" i="21"/>
  <c r="AN27" i="23"/>
  <c r="AL28" i="23"/>
  <c r="AR25" i="17"/>
  <c r="AT24" i="17"/>
  <c r="A19" i="16"/>
  <c r="AI26" i="1"/>
  <c r="AM30" i="18"/>
  <c r="AQ28" i="1"/>
  <c r="AS27" i="1"/>
  <c r="AJ24" i="1"/>
  <c r="AK23" i="1"/>
  <c r="AM26" i="21"/>
  <c r="AN25" i="18"/>
  <c r="AO24" i="18"/>
  <c r="U25" i="18"/>
  <c r="V24" i="18"/>
  <c r="C25" i="21"/>
  <c r="AO24" i="1"/>
  <c r="AM25" i="1"/>
  <c r="AL27" i="21"/>
  <c r="AR24" i="21"/>
  <c r="AV24" i="21" s="1"/>
  <c r="AQ25" i="21"/>
  <c r="AT26" i="21"/>
  <c r="AU25" i="21"/>
  <c r="AS26" i="18"/>
  <c r="AQ27" i="18"/>
  <c r="AZ24" i="21"/>
  <c r="AY25" i="21"/>
  <c r="AI28" i="18"/>
  <c r="AQ26" i="23"/>
  <c r="AR25" i="23"/>
  <c r="AT26" i="23"/>
  <c r="AU25" i="23"/>
  <c r="AY26" i="23"/>
  <c r="AZ25" i="23"/>
  <c r="B24" i="1"/>
  <c r="B25" i="18"/>
  <c r="B17" i="16"/>
  <c r="C17" i="16" s="1"/>
  <c r="AW27" i="17"/>
  <c r="AX26" i="17"/>
  <c r="AO27" i="17"/>
  <c r="AP26" i="17"/>
  <c r="AS27" i="17"/>
  <c r="AE25" i="21"/>
  <c r="AF25" i="1"/>
  <c r="AG24" i="1"/>
  <c r="P27" i="21"/>
  <c r="Q26" i="21"/>
  <c r="U26" i="1"/>
  <c r="V25" i="1"/>
  <c r="I25" i="18"/>
  <c r="J24" i="18"/>
  <c r="Y26" i="18"/>
  <c r="Z25" i="18"/>
  <c r="Y24" i="1"/>
  <c r="Z23" i="1"/>
  <c r="T24" i="23"/>
  <c r="U23" i="23"/>
  <c r="R26" i="1"/>
  <c r="Q27" i="1"/>
  <c r="Z26" i="17"/>
  <c r="AA25" i="17"/>
  <c r="M25" i="18"/>
  <c r="N24" i="18"/>
  <c r="M26" i="1"/>
  <c r="N25" i="1"/>
  <c r="X25" i="21"/>
  <c r="Y24" i="21"/>
  <c r="P24" i="23"/>
  <c r="Q23" i="23"/>
  <c r="Q26" i="18"/>
  <c r="R25" i="18"/>
  <c r="AD27" i="17"/>
  <c r="AE26" i="17"/>
  <c r="V26" i="17"/>
  <c r="W25" i="17"/>
  <c r="L25" i="21"/>
  <c r="M24" i="21"/>
  <c r="I25" i="1"/>
  <c r="J24" i="1"/>
  <c r="X24" i="23"/>
  <c r="Y23" i="23"/>
  <c r="U24" i="21"/>
  <c r="T25" i="21"/>
  <c r="L24" i="23"/>
  <c r="M23" i="23"/>
  <c r="R27" i="17"/>
  <c r="S26" i="17"/>
  <c r="AG39" i="17"/>
  <c r="AF27" i="18"/>
  <c r="AG26" i="18"/>
  <c r="AK28" i="17"/>
  <c r="AL27" i="17"/>
  <c r="BH22" i="23"/>
  <c r="AJ22" i="23"/>
  <c r="AA26" i="21"/>
  <c r="AB25" i="18"/>
  <c r="AE24" i="23"/>
  <c r="AF23" i="23"/>
  <c r="AA24" i="23"/>
  <c r="AH27" i="21"/>
  <c r="AI26" i="21"/>
  <c r="AH24" i="23"/>
  <c r="AI23" i="23"/>
  <c r="M27" i="17" l="1"/>
  <c r="J18" i="16"/>
  <c r="AQ19" i="16"/>
  <c r="AR19" i="16"/>
  <c r="AE19" i="16"/>
  <c r="AF19" i="16"/>
  <c r="AD19" i="16"/>
  <c r="AB19" i="16"/>
  <c r="AG19" i="16"/>
  <c r="U19" i="16"/>
  <c r="V19" i="16"/>
  <c r="AS19" i="16"/>
  <c r="AN19" i="16"/>
  <c r="AP19" i="16"/>
  <c r="R19" i="16"/>
  <c r="I19" i="16"/>
  <c r="AI19" i="16"/>
  <c r="AH19" i="16"/>
  <c r="AJ19" i="16"/>
  <c r="AM19" i="16"/>
  <c r="AK19" i="16"/>
  <c r="AL19" i="16"/>
  <c r="C24" i="1"/>
  <c r="BL24" i="18"/>
  <c r="BA25" i="1"/>
  <c r="AB25" i="1"/>
  <c r="AN26" i="21"/>
  <c r="AQ25" i="44"/>
  <c r="AR24" i="44"/>
  <c r="AE25" i="44"/>
  <c r="AF24" i="44"/>
  <c r="AM25" i="44"/>
  <c r="AN24" i="44"/>
  <c r="AA25" i="44"/>
  <c r="AV23" i="44"/>
  <c r="AY25" i="44"/>
  <c r="AZ24" i="44"/>
  <c r="C25" i="44"/>
  <c r="AJ23" i="44"/>
  <c r="BH23" i="44"/>
  <c r="AH25" i="44"/>
  <c r="AI24" i="44"/>
  <c r="AT25" i="44"/>
  <c r="AU24" i="44"/>
  <c r="AJ26" i="18"/>
  <c r="AK25" i="18"/>
  <c r="AN28" i="23"/>
  <c r="AL29" i="23"/>
  <c r="B26" i="23"/>
  <c r="B27" i="21"/>
  <c r="AJ25" i="1"/>
  <c r="AK24" i="1"/>
  <c r="A20" i="16"/>
  <c r="U26" i="18"/>
  <c r="V25" i="18"/>
  <c r="AN26" i="18"/>
  <c r="AO25" i="18"/>
  <c r="AS28" i="1"/>
  <c r="AQ29" i="1"/>
  <c r="AT27" i="21"/>
  <c r="AU26" i="21"/>
  <c r="C26" i="21"/>
  <c r="AM31" i="18"/>
  <c r="AQ26" i="21"/>
  <c r="AR25" i="21"/>
  <c r="AV25" i="21" s="1"/>
  <c r="AI27" i="1"/>
  <c r="AR26" i="17"/>
  <c r="AT25" i="17"/>
  <c r="AS27" i="18"/>
  <c r="AQ28" i="18"/>
  <c r="AO25" i="1"/>
  <c r="AM26" i="1"/>
  <c r="AM27" i="21"/>
  <c r="AV25" i="23"/>
  <c r="AI29" i="18"/>
  <c r="AZ25" i="21"/>
  <c r="AY26" i="21"/>
  <c r="AL28" i="21"/>
  <c r="AQ27" i="23"/>
  <c r="AR26" i="23"/>
  <c r="AU26" i="23"/>
  <c r="AT27" i="23"/>
  <c r="AZ26" i="23"/>
  <c r="AY27" i="23"/>
  <c r="B26" i="18"/>
  <c r="B25" i="1"/>
  <c r="B18" i="16"/>
  <c r="C18" i="16" s="1"/>
  <c r="AX27" i="17"/>
  <c r="AW28" i="17"/>
  <c r="AS28" i="17"/>
  <c r="AO28" i="17"/>
  <c r="AP27" i="17"/>
  <c r="AG25" i="1"/>
  <c r="AF26" i="1"/>
  <c r="AE26" i="21"/>
  <c r="Q27" i="21"/>
  <c r="P28" i="21"/>
  <c r="AD28" i="17"/>
  <c r="AE27" i="17"/>
  <c r="P25" i="23"/>
  <c r="Q24" i="23"/>
  <c r="Q28" i="1"/>
  <c r="R27" i="1"/>
  <c r="M26" i="18"/>
  <c r="N25" i="18"/>
  <c r="Y25" i="1"/>
  <c r="Z24" i="1"/>
  <c r="V26" i="1"/>
  <c r="U27" i="1"/>
  <c r="W26" i="17"/>
  <c r="V27" i="17"/>
  <c r="S27" i="17"/>
  <c r="R28" i="17"/>
  <c r="L25" i="23"/>
  <c r="M24" i="23"/>
  <c r="X25" i="23"/>
  <c r="Y24" i="23"/>
  <c r="L26" i="21"/>
  <c r="M25" i="21"/>
  <c r="R26" i="18"/>
  <c r="Q27" i="18"/>
  <c r="Q16" i="16"/>
  <c r="I26" i="1"/>
  <c r="J25" i="1"/>
  <c r="X26" i="21"/>
  <c r="Y25" i="21"/>
  <c r="T26" i="21"/>
  <c r="U25" i="21"/>
  <c r="N26" i="1"/>
  <c r="M27" i="1"/>
  <c r="Z27" i="17"/>
  <c r="AA26" i="17"/>
  <c r="T25" i="23"/>
  <c r="U24" i="23"/>
  <c r="Z26" i="18"/>
  <c r="Y27" i="18"/>
  <c r="I26" i="18"/>
  <c r="J25" i="18"/>
  <c r="AB26" i="18"/>
  <c r="AF28" i="18"/>
  <c r="AG27" i="18"/>
  <c r="AJ23" i="23"/>
  <c r="BH23" i="23"/>
  <c r="AH25" i="23"/>
  <c r="AI24" i="23"/>
  <c r="AA25" i="23"/>
  <c r="AE25" i="23"/>
  <c r="AF24" i="23"/>
  <c r="AA27" i="21"/>
  <c r="AG40" i="17"/>
  <c r="AH28" i="21"/>
  <c r="AI27" i="21"/>
  <c r="AL28" i="17"/>
  <c r="AK29" i="17"/>
  <c r="M28" i="17" l="1"/>
  <c r="J19" i="16"/>
  <c r="AQ20" i="16"/>
  <c r="AR20" i="16"/>
  <c r="AE20" i="16"/>
  <c r="AF20" i="16"/>
  <c r="AG20" i="16"/>
  <c r="AD20" i="16"/>
  <c r="AB20" i="16"/>
  <c r="U20" i="16"/>
  <c r="V20" i="16"/>
  <c r="AS20" i="16"/>
  <c r="AP20" i="16"/>
  <c r="AN20" i="16"/>
  <c r="R20" i="16"/>
  <c r="I20" i="16"/>
  <c r="AI20" i="16"/>
  <c r="AH20" i="16"/>
  <c r="AJ20" i="16"/>
  <c r="AM20" i="16"/>
  <c r="AK20" i="16"/>
  <c r="AL20" i="16"/>
  <c r="C25" i="1"/>
  <c r="BL25" i="18"/>
  <c r="AB26" i="1"/>
  <c r="AV24" i="44"/>
  <c r="BA26" i="1"/>
  <c r="AT26" i="44"/>
  <c r="AU25" i="44"/>
  <c r="AH26" i="44"/>
  <c r="AI25" i="44"/>
  <c r="C26" i="44"/>
  <c r="AQ26" i="44"/>
  <c r="AR25" i="44"/>
  <c r="AM26" i="44"/>
  <c r="AN25" i="44"/>
  <c r="AJ24" i="44"/>
  <c r="BH24" i="44"/>
  <c r="AY26" i="44"/>
  <c r="AZ25" i="44"/>
  <c r="AA26" i="44"/>
  <c r="AE26" i="44"/>
  <c r="AF25" i="44"/>
  <c r="AJ27" i="18"/>
  <c r="AK26" i="18"/>
  <c r="AM28" i="21"/>
  <c r="AQ30" i="1"/>
  <c r="AS29" i="1"/>
  <c r="AS28" i="18"/>
  <c r="AQ29" i="18"/>
  <c r="AN27" i="21"/>
  <c r="A21" i="16"/>
  <c r="AN27" i="18"/>
  <c r="AO26" i="18"/>
  <c r="C27" i="21"/>
  <c r="AJ26" i="1"/>
  <c r="AK25" i="1"/>
  <c r="V26" i="18"/>
  <c r="U27" i="18"/>
  <c r="AN29" i="23"/>
  <c r="AL30" i="23"/>
  <c r="AZ26" i="21"/>
  <c r="AY27" i="21"/>
  <c r="AV26" i="23"/>
  <c r="AI30" i="18"/>
  <c r="AR27" i="17"/>
  <c r="AT26" i="17"/>
  <c r="AM32" i="18"/>
  <c r="AI28" i="1"/>
  <c r="AL29" i="21"/>
  <c r="Q17" i="16"/>
  <c r="AM27" i="1"/>
  <c r="AO26" i="1"/>
  <c r="AQ27" i="21"/>
  <c r="AR26" i="21"/>
  <c r="AV26" i="21" s="1"/>
  <c r="AT28" i="21"/>
  <c r="AU27" i="21"/>
  <c r="B27" i="23"/>
  <c r="B28" i="21"/>
  <c r="AR27" i="23"/>
  <c r="AQ28" i="23"/>
  <c r="AU27" i="23"/>
  <c r="AT28" i="23"/>
  <c r="AY28" i="23"/>
  <c r="AZ27" i="23"/>
  <c r="B27" i="18"/>
  <c r="B19" i="16"/>
  <c r="C19" i="16" s="1"/>
  <c r="B26" i="1"/>
  <c r="AX28" i="17"/>
  <c r="AW29" i="17"/>
  <c r="AO29" i="17"/>
  <c r="AP28" i="17"/>
  <c r="AS29" i="17"/>
  <c r="AE27" i="21"/>
  <c r="AG26" i="1"/>
  <c r="AF27" i="1"/>
  <c r="Q28" i="21"/>
  <c r="P29" i="21"/>
  <c r="P26" i="23"/>
  <c r="Q25" i="23"/>
  <c r="L27" i="21"/>
  <c r="M26" i="21"/>
  <c r="L26" i="23"/>
  <c r="M25" i="23"/>
  <c r="I27" i="18"/>
  <c r="J26" i="18"/>
  <c r="R27" i="18"/>
  <c r="Q28" i="18"/>
  <c r="Z25" i="1"/>
  <c r="Y26" i="1"/>
  <c r="M27" i="18"/>
  <c r="N26" i="18"/>
  <c r="AD29" i="17"/>
  <c r="AE28" i="17"/>
  <c r="T26" i="23"/>
  <c r="U25" i="23"/>
  <c r="Z28" i="17"/>
  <c r="AA27" i="17"/>
  <c r="R29" i="17"/>
  <c r="S28" i="17"/>
  <c r="Q29" i="1"/>
  <c r="R28" i="1"/>
  <c r="Y28" i="18"/>
  <c r="Z27" i="18"/>
  <c r="M28" i="1"/>
  <c r="N27" i="1"/>
  <c r="T27" i="21"/>
  <c r="U26" i="21"/>
  <c r="X27" i="21"/>
  <c r="Y26" i="21"/>
  <c r="J26" i="1"/>
  <c r="I27" i="1"/>
  <c r="X26" i="23"/>
  <c r="Y25" i="23"/>
  <c r="V28" i="17"/>
  <c r="W27" i="17"/>
  <c r="U28" i="1"/>
  <c r="V27" i="1"/>
  <c r="AA26" i="23"/>
  <c r="AG28" i="18"/>
  <c r="AF29" i="18"/>
  <c r="AG41" i="17"/>
  <c r="AB27" i="18"/>
  <c r="AL29" i="17"/>
  <c r="AK30" i="17"/>
  <c r="AA28" i="21"/>
  <c r="BH24" i="23"/>
  <c r="AJ24" i="23"/>
  <c r="AH26" i="23"/>
  <c r="AI25" i="23"/>
  <c r="AH29" i="21"/>
  <c r="AI28" i="21"/>
  <c r="AE26" i="23"/>
  <c r="AF25" i="23"/>
  <c r="M29" i="17" l="1"/>
  <c r="J20" i="16"/>
  <c r="AQ21" i="16"/>
  <c r="AR21" i="16"/>
  <c r="AE21" i="16"/>
  <c r="AF21" i="16"/>
  <c r="AG21" i="16"/>
  <c r="AD21" i="16"/>
  <c r="AB21" i="16"/>
  <c r="U21" i="16"/>
  <c r="V21" i="16"/>
  <c r="AS21" i="16"/>
  <c r="AP21" i="16"/>
  <c r="AN21" i="16"/>
  <c r="R21" i="16"/>
  <c r="I21" i="16"/>
  <c r="AI21" i="16"/>
  <c r="AH21" i="16"/>
  <c r="AJ21" i="16"/>
  <c r="AM21" i="16"/>
  <c r="AK21" i="16"/>
  <c r="AL21" i="16"/>
  <c r="C26" i="1"/>
  <c r="BL26" i="18"/>
  <c r="BA27" i="1"/>
  <c r="AB27" i="1"/>
  <c r="C27" i="44"/>
  <c r="AY27" i="44"/>
  <c r="AZ26" i="44"/>
  <c r="AN28" i="21"/>
  <c r="AQ27" i="44"/>
  <c r="AR26" i="44"/>
  <c r="AH27" i="44"/>
  <c r="AI26" i="44"/>
  <c r="AV25" i="44"/>
  <c r="AM27" i="44"/>
  <c r="AN26" i="44"/>
  <c r="AJ25" i="44"/>
  <c r="BH25" i="44"/>
  <c r="AT27" i="44"/>
  <c r="AU26" i="44"/>
  <c r="AE27" i="44"/>
  <c r="AF26" i="44"/>
  <c r="AA27" i="44"/>
  <c r="AJ28" i="18"/>
  <c r="AK27" i="18"/>
  <c r="B28" i="23"/>
  <c r="B29" i="21"/>
  <c r="AY28" i="21"/>
  <c r="AZ27" i="21"/>
  <c r="C28" i="21"/>
  <c r="AV27" i="23"/>
  <c r="AS29" i="18"/>
  <c r="AQ30" i="18"/>
  <c r="AO27" i="1"/>
  <c r="AM28" i="1"/>
  <c r="AS30" i="1"/>
  <c r="AQ31" i="1"/>
  <c r="AR27" i="21"/>
  <c r="AV27" i="21" s="1"/>
  <c r="AQ28" i="21"/>
  <c r="AR28" i="17"/>
  <c r="AT27" i="17"/>
  <c r="U28" i="18"/>
  <c r="V27" i="18"/>
  <c r="A22" i="16"/>
  <c r="AL30" i="21"/>
  <c r="AM33" i="18"/>
  <c r="AM29" i="21"/>
  <c r="AU28" i="21"/>
  <c r="AT29" i="21"/>
  <c r="AI29" i="1"/>
  <c r="AI31" i="18"/>
  <c r="AN30" i="23"/>
  <c r="AL31" i="23"/>
  <c r="AJ27" i="1"/>
  <c r="AK26" i="1"/>
  <c r="AN28" i="18"/>
  <c r="AO27" i="18"/>
  <c r="AQ29" i="23"/>
  <c r="AR28" i="23"/>
  <c r="AU28" i="23"/>
  <c r="AT29" i="23"/>
  <c r="AZ28" i="23"/>
  <c r="AY29" i="23"/>
  <c r="B20" i="16"/>
  <c r="C20" i="16" s="1"/>
  <c r="B27" i="1"/>
  <c r="B28" i="18"/>
  <c r="AX29" i="17"/>
  <c r="AW30" i="17"/>
  <c r="AS30" i="17"/>
  <c r="AO30" i="17"/>
  <c r="AP29" i="17"/>
  <c r="AF28" i="1"/>
  <c r="AG27" i="1"/>
  <c r="AE28" i="21"/>
  <c r="P30" i="21"/>
  <c r="Q29" i="21"/>
  <c r="L27" i="23"/>
  <c r="M26" i="23"/>
  <c r="V29" i="17"/>
  <c r="W28" i="17"/>
  <c r="X28" i="21"/>
  <c r="Y27" i="21"/>
  <c r="N28" i="1"/>
  <c r="M29" i="1"/>
  <c r="AE29" i="17"/>
  <c r="AD30" i="17"/>
  <c r="M28" i="18"/>
  <c r="N27" i="18"/>
  <c r="P27" i="23"/>
  <c r="Q26" i="23"/>
  <c r="I28" i="1"/>
  <c r="J27" i="1"/>
  <c r="R29" i="1"/>
  <c r="Q30" i="1"/>
  <c r="R30" i="17"/>
  <c r="S29" i="17"/>
  <c r="T27" i="23"/>
  <c r="U26" i="23"/>
  <c r="Y27" i="1"/>
  <c r="Z26" i="1"/>
  <c r="Q29" i="18"/>
  <c r="R28" i="18"/>
  <c r="Q18" i="16"/>
  <c r="L28" i="21"/>
  <c r="M27" i="21"/>
  <c r="Z29" i="17"/>
  <c r="AA28" i="17"/>
  <c r="U29" i="1"/>
  <c r="V28" i="1"/>
  <c r="X27" i="23"/>
  <c r="Y26" i="23"/>
  <c r="T28" i="21"/>
  <c r="U27" i="21"/>
  <c r="Y29" i="18"/>
  <c r="Z28" i="18"/>
  <c r="I28" i="18"/>
  <c r="J27" i="18"/>
  <c r="BH25" i="23"/>
  <c r="AJ25" i="23"/>
  <c r="AA29" i="21"/>
  <c r="AA27" i="23"/>
  <c r="AE27" i="23"/>
  <c r="AF26" i="23"/>
  <c r="AH27" i="23"/>
  <c r="AI26" i="23"/>
  <c r="AL30" i="17"/>
  <c r="AK31" i="17"/>
  <c r="AB28" i="18"/>
  <c r="AH30" i="21"/>
  <c r="AI29" i="21"/>
  <c r="AF30" i="18"/>
  <c r="AG29" i="18"/>
  <c r="M30" i="17" l="1"/>
  <c r="J21" i="16"/>
  <c r="AQ22" i="16"/>
  <c r="AR22" i="16"/>
  <c r="AE22" i="16"/>
  <c r="AF22" i="16"/>
  <c r="AB22" i="16"/>
  <c r="AD22" i="16"/>
  <c r="U22" i="16"/>
  <c r="AG22" i="16"/>
  <c r="V22" i="16"/>
  <c r="AS22" i="16"/>
  <c r="AP22" i="16"/>
  <c r="AN22" i="16"/>
  <c r="R22" i="16"/>
  <c r="I22" i="16"/>
  <c r="AI22" i="16"/>
  <c r="AH22" i="16"/>
  <c r="AJ22" i="16"/>
  <c r="AM22" i="16"/>
  <c r="AK22" i="16"/>
  <c r="AL22" i="16"/>
  <c r="C27" i="1"/>
  <c r="BL27" i="18"/>
  <c r="AB28" i="1"/>
  <c r="BA28" i="1"/>
  <c r="AV26" i="44"/>
  <c r="AT28" i="44"/>
  <c r="AU27" i="44"/>
  <c r="AQ28" i="44"/>
  <c r="AR27" i="44"/>
  <c r="AA28" i="44"/>
  <c r="AM28" i="44"/>
  <c r="AN27" i="44"/>
  <c r="AE28" i="44"/>
  <c r="AF27" i="44"/>
  <c r="AN29" i="21"/>
  <c r="AY28" i="44"/>
  <c r="AZ27" i="44"/>
  <c r="AJ26" i="44"/>
  <c r="BH26" i="44"/>
  <c r="AH28" i="44"/>
  <c r="AI27" i="44"/>
  <c r="C28" i="44"/>
  <c r="AJ29" i="18"/>
  <c r="AK28" i="18"/>
  <c r="Q19" i="16"/>
  <c r="A23" i="16"/>
  <c r="V28" i="18"/>
  <c r="U29" i="18"/>
  <c r="AM30" i="21"/>
  <c r="AI32" i="18"/>
  <c r="AT30" i="21"/>
  <c r="AU29" i="21"/>
  <c r="AR29" i="17"/>
  <c r="AT28" i="17"/>
  <c r="AS31" i="1"/>
  <c r="AQ32" i="1"/>
  <c r="AM29" i="1"/>
  <c r="AO28" i="1"/>
  <c r="AS30" i="18"/>
  <c r="AQ31" i="18"/>
  <c r="AN29" i="18"/>
  <c r="AO28" i="18"/>
  <c r="AI30" i="1"/>
  <c r="AM34" i="18"/>
  <c r="AN31" i="23"/>
  <c r="AL32" i="23"/>
  <c r="AY29" i="21"/>
  <c r="AZ28" i="21"/>
  <c r="AJ28" i="1"/>
  <c r="AK27" i="1"/>
  <c r="AR28" i="21"/>
  <c r="AV28" i="21" s="1"/>
  <c r="AQ29" i="21"/>
  <c r="C29" i="21"/>
  <c r="B29" i="23"/>
  <c r="B30" i="21"/>
  <c r="AN30" i="21"/>
  <c r="AL31" i="21"/>
  <c r="AV28" i="23"/>
  <c r="AQ30" i="23"/>
  <c r="AR29" i="23"/>
  <c r="AT30" i="23"/>
  <c r="AU29" i="23"/>
  <c r="AY30" i="23"/>
  <c r="AZ29" i="23"/>
  <c r="B28" i="1"/>
  <c r="B21" i="16"/>
  <c r="C21" i="16" s="1"/>
  <c r="B29" i="18"/>
  <c r="AW31" i="17"/>
  <c r="AX30" i="17"/>
  <c r="AO31" i="17"/>
  <c r="AP30" i="17"/>
  <c r="AS31" i="17"/>
  <c r="AE29" i="21"/>
  <c r="AF29" i="1"/>
  <c r="AG28" i="1"/>
  <c r="Q30" i="21"/>
  <c r="P31" i="21"/>
  <c r="AE30" i="17"/>
  <c r="AD31" i="17"/>
  <c r="M30" i="1"/>
  <c r="N29" i="1"/>
  <c r="L28" i="23"/>
  <c r="M27" i="23"/>
  <c r="I29" i="18"/>
  <c r="J28" i="18"/>
  <c r="T29" i="21"/>
  <c r="U28" i="21"/>
  <c r="V29" i="1"/>
  <c r="U30" i="1"/>
  <c r="Q30" i="18"/>
  <c r="R29" i="18"/>
  <c r="R31" i="17"/>
  <c r="S30" i="17"/>
  <c r="J28" i="1"/>
  <c r="I29" i="1"/>
  <c r="V30" i="17"/>
  <c r="W29" i="17"/>
  <c r="Z30" i="17"/>
  <c r="AA29" i="17"/>
  <c r="L29" i="21"/>
  <c r="M28" i="21"/>
  <c r="R30" i="1"/>
  <c r="Q31" i="1"/>
  <c r="P28" i="23"/>
  <c r="Q27" i="23"/>
  <c r="Y30" i="18"/>
  <c r="Z29" i="18"/>
  <c r="X28" i="23"/>
  <c r="Y27" i="23"/>
  <c r="Y28" i="1"/>
  <c r="Z27" i="1"/>
  <c r="T28" i="23"/>
  <c r="U27" i="23"/>
  <c r="M29" i="18"/>
  <c r="N28" i="18"/>
  <c r="X29" i="21"/>
  <c r="Y28" i="21"/>
  <c r="AF31" i="18"/>
  <c r="AG30" i="18"/>
  <c r="AH31" i="21"/>
  <c r="AI30" i="21"/>
  <c r="AK32" i="17"/>
  <c r="AL31" i="17"/>
  <c r="BH26" i="23"/>
  <c r="AJ26" i="23"/>
  <c r="AA28" i="23"/>
  <c r="AB29" i="18"/>
  <c r="AH28" i="23"/>
  <c r="AI27" i="23"/>
  <c r="AE28" i="23"/>
  <c r="AF27" i="23"/>
  <c r="AA30" i="21"/>
  <c r="M31" i="17" l="1"/>
  <c r="J22" i="16"/>
  <c r="AQ23" i="16"/>
  <c r="AR23" i="16"/>
  <c r="AE23" i="16"/>
  <c r="AF23" i="16"/>
  <c r="AG23" i="16"/>
  <c r="AD23" i="16"/>
  <c r="U23" i="16"/>
  <c r="AB23" i="16"/>
  <c r="V23" i="16"/>
  <c r="AS23" i="16"/>
  <c r="AN23" i="16"/>
  <c r="AP23" i="16"/>
  <c r="R23" i="16"/>
  <c r="I23" i="16"/>
  <c r="AI23" i="16"/>
  <c r="AH23" i="16"/>
  <c r="AJ23" i="16"/>
  <c r="AM23" i="16"/>
  <c r="AK23" i="16"/>
  <c r="AL23" i="16"/>
  <c r="C28" i="1"/>
  <c r="BL28" i="18"/>
  <c r="BA29" i="1"/>
  <c r="AB29" i="1"/>
  <c r="AY29" i="44"/>
  <c r="AZ28" i="44"/>
  <c r="AH29" i="44"/>
  <c r="AI28" i="44"/>
  <c r="AV27" i="44"/>
  <c r="AA29" i="44"/>
  <c r="AT29" i="44"/>
  <c r="AU28" i="44"/>
  <c r="C29" i="44"/>
  <c r="AM29" i="44"/>
  <c r="AN28" i="44"/>
  <c r="AQ29" i="44"/>
  <c r="AR28" i="44"/>
  <c r="AE29" i="44"/>
  <c r="AF28" i="44"/>
  <c r="AJ27" i="44"/>
  <c r="BH27" i="44"/>
  <c r="AJ30" i="18"/>
  <c r="AK29" i="18"/>
  <c r="AV29" i="23"/>
  <c r="AR29" i="21"/>
  <c r="AV29" i="21" s="1"/>
  <c r="AQ30" i="21"/>
  <c r="AZ29" i="21"/>
  <c r="AY30" i="21"/>
  <c r="AO29" i="1"/>
  <c r="AM30" i="1"/>
  <c r="A24" i="16"/>
  <c r="AJ29" i="1"/>
  <c r="AK28" i="1"/>
  <c r="AL32" i="21"/>
  <c r="AN32" i="23"/>
  <c r="AL33" i="23"/>
  <c r="AS32" i="1"/>
  <c r="AQ33" i="1"/>
  <c r="AM31" i="21"/>
  <c r="AT31" i="21"/>
  <c r="AU30" i="21"/>
  <c r="AM35" i="18"/>
  <c r="AN30" i="18"/>
  <c r="AO29" i="18"/>
  <c r="C30" i="21"/>
  <c r="U30" i="18"/>
  <c r="V29" i="18"/>
  <c r="B30" i="23"/>
  <c r="B31" i="21"/>
  <c r="AI33" i="18"/>
  <c r="AI31" i="1"/>
  <c r="AR30" i="17"/>
  <c r="AT29" i="17"/>
  <c r="AS31" i="18"/>
  <c r="AQ32" i="18"/>
  <c r="AQ31" i="23"/>
  <c r="AR30" i="23"/>
  <c r="AU30" i="23"/>
  <c r="AT31" i="23"/>
  <c r="AY31" i="23"/>
  <c r="AZ30" i="23"/>
  <c r="B30" i="18"/>
  <c r="B29" i="1"/>
  <c r="B22" i="16"/>
  <c r="C22" i="16" s="1"/>
  <c r="AX31" i="17"/>
  <c r="AW32" i="17"/>
  <c r="AS32" i="17"/>
  <c r="AO32" i="17"/>
  <c r="AP31" i="17"/>
  <c r="AF30" i="1"/>
  <c r="AG29" i="1"/>
  <c r="AE30" i="21"/>
  <c r="Q20" i="16"/>
  <c r="P32" i="21"/>
  <c r="Q31" i="21"/>
  <c r="X30" i="21"/>
  <c r="Y29" i="21"/>
  <c r="Y31" i="18"/>
  <c r="Z30" i="18"/>
  <c r="Q32" i="1"/>
  <c r="R31" i="1"/>
  <c r="V31" i="17"/>
  <c r="W30" i="17"/>
  <c r="R32" i="17"/>
  <c r="S31" i="17"/>
  <c r="R30" i="18"/>
  <c r="Q31" i="18"/>
  <c r="L29" i="23"/>
  <c r="M28" i="23"/>
  <c r="P29" i="23"/>
  <c r="Q28" i="23"/>
  <c r="I30" i="1"/>
  <c r="J29" i="1"/>
  <c r="I30" i="18"/>
  <c r="J29" i="18"/>
  <c r="U28" i="23"/>
  <c r="T29" i="23"/>
  <c r="X29" i="23"/>
  <c r="Y28" i="23"/>
  <c r="Z31" i="17"/>
  <c r="AA30" i="17"/>
  <c r="V30" i="1"/>
  <c r="U31" i="1"/>
  <c r="N30" i="1"/>
  <c r="M31" i="1"/>
  <c r="N29" i="18"/>
  <c r="M30" i="18"/>
  <c r="Y29" i="1"/>
  <c r="Z28" i="1"/>
  <c r="L30" i="21"/>
  <c r="M29" i="21"/>
  <c r="T30" i="21"/>
  <c r="U29" i="21"/>
  <c r="AD32" i="17"/>
  <c r="AE31" i="17"/>
  <c r="AA31" i="21"/>
  <c r="AE29" i="23"/>
  <c r="AF28" i="23"/>
  <c r="AH29" i="23"/>
  <c r="AI28" i="23"/>
  <c r="AH32" i="21"/>
  <c r="AI31" i="21"/>
  <c r="BH27" i="23"/>
  <c r="AJ27" i="23"/>
  <c r="AK33" i="17"/>
  <c r="AL32" i="17"/>
  <c r="AA29" i="23"/>
  <c r="AF32" i="18"/>
  <c r="AG31" i="18"/>
  <c r="AB30" i="18"/>
  <c r="M32" i="17" l="1"/>
  <c r="J23" i="16"/>
  <c r="AQ24" i="16"/>
  <c r="AR24" i="16"/>
  <c r="AE24" i="16"/>
  <c r="AF24" i="16"/>
  <c r="AB24" i="16"/>
  <c r="AD24" i="16"/>
  <c r="U24" i="16"/>
  <c r="AG24" i="16"/>
  <c r="V24" i="16"/>
  <c r="AS24" i="16"/>
  <c r="AN24" i="16"/>
  <c r="AP24" i="16"/>
  <c r="R24" i="16"/>
  <c r="I24" i="16"/>
  <c r="AI24" i="16"/>
  <c r="AH24" i="16"/>
  <c r="AJ24" i="16"/>
  <c r="AM24" i="16"/>
  <c r="AK24" i="16"/>
  <c r="AL24" i="16"/>
  <c r="C29" i="1"/>
  <c r="BL29" i="18"/>
  <c r="AB30" i="1"/>
  <c r="BA30" i="1"/>
  <c r="AM30" i="44"/>
  <c r="AN29" i="44"/>
  <c r="AA30" i="44"/>
  <c r="C30" i="44"/>
  <c r="AJ28" i="44"/>
  <c r="BH28" i="44"/>
  <c r="AE30" i="44"/>
  <c r="AF29" i="44"/>
  <c r="AY30" i="44"/>
  <c r="AZ29" i="44"/>
  <c r="AV28" i="44"/>
  <c r="AN31" i="21"/>
  <c r="AQ30" i="44"/>
  <c r="AR29" i="44"/>
  <c r="AT30" i="44"/>
  <c r="AU29" i="44"/>
  <c r="AH30" i="44"/>
  <c r="AI29" i="44"/>
  <c r="AJ31" i="18"/>
  <c r="AK30" i="18"/>
  <c r="U31" i="18"/>
  <c r="V30" i="18"/>
  <c r="AN31" i="18"/>
  <c r="AO30" i="18"/>
  <c r="AM31" i="1"/>
  <c r="AO30" i="1"/>
  <c r="AR31" i="17"/>
  <c r="AT30" i="17"/>
  <c r="AM36" i="18"/>
  <c r="AJ30" i="1"/>
  <c r="AK29" i="1"/>
  <c r="AY31" i="21"/>
  <c r="AZ30" i="21"/>
  <c r="A25" i="16"/>
  <c r="AT32" i="21"/>
  <c r="AU31" i="21"/>
  <c r="B31" i="23"/>
  <c r="B32" i="21"/>
  <c r="AS32" i="18"/>
  <c r="AQ33" i="18"/>
  <c r="AI32" i="1"/>
  <c r="AQ34" i="1"/>
  <c r="AS33" i="1"/>
  <c r="AV30" i="23"/>
  <c r="AN33" i="23"/>
  <c r="AL34" i="23"/>
  <c r="AQ31" i="21"/>
  <c r="AR30" i="21"/>
  <c r="AV30" i="21" s="1"/>
  <c r="AI34" i="18"/>
  <c r="C31" i="21"/>
  <c r="AM32" i="21"/>
  <c r="AL33" i="21"/>
  <c r="AR31" i="23"/>
  <c r="AQ32" i="23"/>
  <c r="AU31" i="23"/>
  <c r="AT32" i="23"/>
  <c r="AY32" i="23"/>
  <c r="AZ31" i="23"/>
  <c r="B23" i="16"/>
  <c r="C23" i="16" s="1"/>
  <c r="B30" i="1"/>
  <c r="B31" i="18"/>
  <c r="AX32" i="17"/>
  <c r="AW33" i="17"/>
  <c r="AO33" i="17"/>
  <c r="AP32" i="17"/>
  <c r="AS33" i="17"/>
  <c r="Q21" i="16"/>
  <c r="AE31" i="21"/>
  <c r="AF31" i="1"/>
  <c r="AG30" i="1"/>
  <c r="P33" i="21"/>
  <c r="Q32" i="21"/>
  <c r="Z29" i="1"/>
  <c r="Y30" i="1"/>
  <c r="AA31" i="17"/>
  <c r="Z32" i="17"/>
  <c r="X30" i="23"/>
  <c r="Y29" i="23"/>
  <c r="I31" i="18"/>
  <c r="J30" i="18"/>
  <c r="P30" i="23"/>
  <c r="Q29" i="23"/>
  <c r="M29" i="23"/>
  <c r="L30" i="23"/>
  <c r="R33" i="17"/>
  <c r="S32" i="17"/>
  <c r="V32" i="17"/>
  <c r="W31" i="17"/>
  <c r="R32" i="1"/>
  <c r="Q33" i="1"/>
  <c r="Y32" i="18"/>
  <c r="Z31" i="18"/>
  <c r="X31" i="21"/>
  <c r="Y30" i="21"/>
  <c r="T31" i="21"/>
  <c r="U30" i="21"/>
  <c r="M30" i="21"/>
  <c r="L31" i="21"/>
  <c r="N30" i="18"/>
  <c r="M31" i="18"/>
  <c r="M32" i="1"/>
  <c r="N31" i="1"/>
  <c r="T30" i="23"/>
  <c r="U29" i="23"/>
  <c r="Q32" i="18"/>
  <c r="R31" i="18"/>
  <c r="AD33" i="17"/>
  <c r="AE32" i="17"/>
  <c r="U32" i="1"/>
  <c r="V31" i="1"/>
  <c r="J30" i="1"/>
  <c r="I31" i="1"/>
  <c r="AG32" i="18"/>
  <c r="AF33" i="18"/>
  <c r="BH28" i="23"/>
  <c r="AJ28" i="23"/>
  <c r="AE30" i="23"/>
  <c r="AF29" i="23"/>
  <c r="AB31" i="18"/>
  <c r="AL33" i="17"/>
  <c r="AK34" i="17"/>
  <c r="AH33" i="21"/>
  <c r="AI32" i="21"/>
  <c r="AA32" i="21"/>
  <c r="AA30" i="23"/>
  <c r="AH30" i="23"/>
  <c r="AI29" i="23"/>
  <c r="M33" i="17" l="1"/>
  <c r="J24" i="16"/>
  <c r="AQ25" i="16"/>
  <c r="AR25" i="16"/>
  <c r="AF25" i="16"/>
  <c r="AE25" i="16"/>
  <c r="AG25" i="16"/>
  <c r="AD25" i="16"/>
  <c r="AB25" i="16"/>
  <c r="U25" i="16"/>
  <c r="V25" i="16"/>
  <c r="AS25" i="16"/>
  <c r="AN25" i="16"/>
  <c r="AP25" i="16"/>
  <c r="R25" i="16"/>
  <c r="I25" i="16"/>
  <c r="AI25" i="16"/>
  <c r="AH25" i="16"/>
  <c r="AJ25" i="16"/>
  <c r="AK25" i="16"/>
  <c r="AM25" i="16"/>
  <c r="AL25" i="16"/>
  <c r="C30" i="1"/>
  <c r="BL30" i="18"/>
  <c r="AV29" i="44"/>
  <c r="BA31" i="1"/>
  <c r="AB31" i="1"/>
  <c r="AT31" i="44"/>
  <c r="AU30" i="44"/>
  <c r="AJ29" i="44"/>
  <c r="BH29" i="44"/>
  <c r="C31" i="44"/>
  <c r="AE31" i="44"/>
  <c r="AF30" i="44"/>
  <c r="AN32" i="21"/>
  <c r="AQ31" i="44"/>
  <c r="AR30" i="44"/>
  <c r="AA31" i="44"/>
  <c r="AM31" i="44"/>
  <c r="AN30" i="44"/>
  <c r="AY31" i="44"/>
  <c r="AZ30" i="44"/>
  <c r="AH31" i="44"/>
  <c r="AI30" i="44"/>
  <c r="AJ32" i="18"/>
  <c r="AK31" i="18"/>
  <c r="AV31" i="23"/>
  <c r="Q22" i="16"/>
  <c r="AM32" i="1"/>
  <c r="AO31" i="1"/>
  <c r="AU32" i="21"/>
  <c r="AT33" i="21"/>
  <c r="AN34" i="23"/>
  <c r="AL35" i="23"/>
  <c r="AN32" i="18"/>
  <c r="AO31" i="18"/>
  <c r="C32" i="21"/>
  <c r="AI33" i="1"/>
  <c r="B32" i="23"/>
  <c r="B33" i="21"/>
  <c r="AI35" i="18"/>
  <c r="AY32" i="21"/>
  <c r="AZ31" i="21"/>
  <c r="AR32" i="17"/>
  <c r="AT31" i="17"/>
  <c r="V31" i="18"/>
  <c r="U32" i="18"/>
  <c r="AS34" i="1"/>
  <c r="AQ35" i="1"/>
  <c r="AL34" i="21"/>
  <c r="AS33" i="18"/>
  <c r="AQ34" i="18"/>
  <c r="A26" i="16"/>
  <c r="AM37" i="18"/>
  <c r="AR31" i="21"/>
  <c r="AV31" i="21" s="1"/>
  <c r="AQ32" i="21"/>
  <c r="AM33" i="21"/>
  <c r="AJ31" i="1"/>
  <c r="AK30" i="1"/>
  <c r="AQ33" i="23"/>
  <c r="AR32" i="23"/>
  <c r="AU32" i="23"/>
  <c r="AT33" i="23"/>
  <c r="AY33" i="23"/>
  <c r="AZ32" i="23"/>
  <c r="B24" i="16"/>
  <c r="C24" i="16" s="1"/>
  <c r="B32" i="18"/>
  <c r="B31" i="1"/>
  <c r="AW34" i="17"/>
  <c r="AX33" i="17"/>
  <c r="AS34" i="17"/>
  <c r="AO34" i="17"/>
  <c r="AP33" i="17"/>
  <c r="AG31" i="1"/>
  <c r="AF32" i="1"/>
  <c r="AE32" i="21"/>
  <c r="P34" i="21"/>
  <c r="Q33" i="21"/>
  <c r="U33" i="1"/>
  <c r="V32" i="1"/>
  <c r="AD34" i="17"/>
  <c r="AE33" i="17"/>
  <c r="Q34" i="1"/>
  <c r="R33" i="1"/>
  <c r="I32" i="18"/>
  <c r="J31" i="18"/>
  <c r="T31" i="23"/>
  <c r="U30" i="23"/>
  <c r="N32" i="1"/>
  <c r="M33" i="1"/>
  <c r="X32" i="21"/>
  <c r="Y31" i="21"/>
  <c r="R34" i="17"/>
  <c r="S33" i="17"/>
  <c r="X31" i="23"/>
  <c r="Y30" i="23"/>
  <c r="Q33" i="18"/>
  <c r="R32" i="18"/>
  <c r="M32" i="18"/>
  <c r="N31" i="18"/>
  <c r="L32" i="21"/>
  <c r="M31" i="21"/>
  <c r="L31" i="23"/>
  <c r="M30" i="23"/>
  <c r="P31" i="23"/>
  <c r="Q30" i="23"/>
  <c r="I32" i="1"/>
  <c r="J31" i="1"/>
  <c r="T32" i="21"/>
  <c r="U31" i="21"/>
  <c r="Y33" i="18"/>
  <c r="Z32" i="18"/>
  <c r="V33" i="17"/>
  <c r="W32" i="17"/>
  <c r="Z33" i="17"/>
  <c r="AA32" i="17"/>
  <c r="Y31" i="1"/>
  <c r="Z30" i="1"/>
  <c r="AH31" i="23"/>
  <c r="AI30" i="23"/>
  <c r="AA33" i="21"/>
  <c r="BH29" i="23"/>
  <c r="AJ29" i="23"/>
  <c r="AE31" i="23"/>
  <c r="AF30" i="23"/>
  <c r="AA31" i="23"/>
  <c r="AF34" i="18"/>
  <c r="AG33" i="18"/>
  <c r="AH34" i="21"/>
  <c r="AI33" i="21"/>
  <c r="AK35" i="17"/>
  <c r="AL34" i="17"/>
  <c r="AB32" i="18"/>
  <c r="M34" i="17" l="1"/>
  <c r="J25" i="16"/>
  <c r="AQ26" i="16"/>
  <c r="AR26" i="16"/>
  <c r="AF26" i="16"/>
  <c r="AE26" i="16"/>
  <c r="AB26" i="16"/>
  <c r="AD26" i="16"/>
  <c r="AG26" i="16"/>
  <c r="U26" i="16"/>
  <c r="V26" i="16"/>
  <c r="AS26" i="16"/>
  <c r="AN26" i="16"/>
  <c r="AP26" i="16"/>
  <c r="R26" i="16"/>
  <c r="I26" i="16"/>
  <c r="AI26" i="16"/>
  <c r="AH26" i="16"/>
  <c r="AJ26" i="16"/>
  <c r="AM26" i="16"/>
  <c r="AK26" i="16"/>
  <c r="AL26" i="16"/>
  <c r="C31" i="1"/>
  <c r="BL31" i="18"/>
  <c r="AV30" i="44"/>
  <c r="AB32" i="1"/>
  <c r="BA32" i="1"/>
  <c r="AE32" i="44"/>
  <c r="AF31" i="44"/>
  <c r="AY32" i="44"/>
  <c r="AZ31" i="44"/>
  <c r="AT32" i="44"/>
  <c r="AU31" i="44"/>
  <c r="AQ32" i="44"/>
  <c r="AR31" i="44"/>
  <c r="C32" i="44"/>
  <c r="AN33" i="21"/>
  <c r="AA32" i="44"/>
  <c r="AM32" i="44"/>
  <c r="AN31" i="44"/>
  <c r="AH32" i="44"/>
  <c r="AI31" i="44"/>
  <c r="AJ30" i="44"/>
  <c r="BH30" i="44"/>
  <c r="AJ33" i="18"/>
  <c r="AK32" i="18"/>
  <c r="AI34" i="1"/>
  <c r="AT34" i="21"/>
  <c r="AU33" i="21"/>
  <c r="U33" i="18"/>
  <c r="V32" i="18"/>
  <c r="AS34" i="18"/>
  <c r="AQ35" i="18"/>
  <c r="C33" i="21"/>
  <c r="AM38" i="18"/>
  <c r="AZ32" i="21"/>
  <c r="AY33" i="21"/>
  <c r="AJ32" i="1"/>
  <c r="AK31" i="1"/>
  <c r="A27" i="16"/>
  <c r="AR33" i="17"/>
  <c r="AT32" i="17"/>
  <c r="AN33" i="18"/>
  <c r="AO32" i="18"/>
  <c r="AM34" i="21"/>
  <c r="AQ33" i="21"/>
  <c r="AR32" i="21"/>
  <c r="AV32" i="21" s="1"/>
  <c r="AL35" i="21"/>
  <c r="B33" i="23"/>
  <c r="B34" i="21"/>
  <c r="AV32" i="23"/>
  <c r="AI36" i="18"/>
  <c r="AN35" i="23"/>
  <c r="AL36" i="23"/>
  <c r="AQ36" i="1"/>
  <c r="AS35" i="1"/>
  <c r="AO32" i="1"/>
  <c r="AM33" i="1"/>
  <c r="AQ34" i="23"/>
  <c r="AR33" i="23"/>
  <c r="AT34" i="23"/>
  <c r="AU33" i="23"/>
  <c r="AY34" i="23"/>
  <c r="AZ33" i="23"/>
  <c r="B32" i="1"/>
  <c r="B33" i="18"/>
  <c r="B25" i="16"/>
  <c r="C25" i="16" s="1"/>
  <c r="AW35" i="17"/>
  <c r="AX34" i="17"/>
  <c r="AO35" i="17"/>
  <c r="AP34" i="17"/>
  <c r="AS35" i="17"/>
  <c r="AG32" i="1"/>
  <c r="AF33" i="1"/>
  <c r="AE33" i="21"/>
  <c r="Q34" i="21"/>
  <c r="P35" i="21"/>
  <c r="Q34" i="18"/>
  <c r="R33" i="18"/>
  <c r="R35" i="17"/>
  <c r="S34" i="17"/>
  <c r="U34" i="1"/>
  <c r="V33" i="1"/>
  <c r="Y32" i="1"/>
  <c r="Z31" i="1"/>
  <c r="V34" i="17"/>
  <c r="W33" i="17"/>
  <c r="T33" i="21"/>
  <c r="U32" i="21"/>
  <c r="L32" i="23"/>
  <c r="M31" i="23"/>
  <c r="M33" i="18"/>
  <c r="N32" i="18"/>
  <c r="Q23" i="16"/>
  <c r="R34" i="1"/>
  <c r="Q35" i="1"/>
  <c r="I33" i="1"/>
  <c r="J32" i="1"/>
  <c r="X33" i="21"/>
  <c r="Y32" i="21"/>
  <c r="T32" i="23"/>
  <c r="U31" i="23"/>
  <c r="I33" i="18"/>
  <c r="J32" i="18"/>
  <c r="AD35" i="17"/>
  <c r="AE34" i="17"/>
  <c r="Z34" i="17"/>
  <c r="AA33" i="17"/>
  <c r="Y34" i="18"/>
  <c r="Z33" i="18"/>
  <c r="P32" i="23"/>
  <c r="Q31" i="23"/>
  <c r="L33" i="21"/>
  <c r="M32" i="21"/>
  <c r="X32" i="23"/>
  <c r="Y31" i="23"/>
  <c r="M34" i="1"/>
  <c r="N33" i="1"/>
  <c r="AK36" i="17"/>
  <c r="AL35" i="17"/>
  <c r="AF35" i="18"/>
  <c r="AG34" i="18"/>
  <c r="AE32" i="23"/>
  <c r="AF31" i="23"/>
  <c r="AA34" i="21"/>
  <c r="AA32" i="23"/>
  <c r="AB33" i="18"/>
  <c r="AH35" i="21"/>
  <c r="AI34" i="21"/>
  <c r="BH30" i="23"/>
  <c r="AJ30" i="23"/>
  <c r="AH32" i="23"/>
  <c r="AI31" i="23"/>
  <c r="M35" i="17" l="1"/>
  <c r="J26" i="16"/>
  <c r="AQ27" i="16"/>
  <c r="AR27" i="16"/>
  <c r="AF27" i="16"/>
  <c r="AE27" i="16"/>
  <c r="AD27" i="16"/>
  <c r="AG27" i="16"/>
  <c r="AB27" i="16"/>
  <c r="U27" i="16"/>
  <c r="V27" i="16"/>
  <c r="AS27" i="16"/>
  <c r="AN27" i="16"/>
  <c r="AP27" i="16"/>
  <c r="R27" i="16"/>
  <c r="I27" i="16"/>
  <c r="AI27" i="16"/>
  <c r="AH27" i="16"/>
  <c r="AJ27" i="16"/>
  <c r="AK27" i="16"/>
  <c r="AM27" i="16"/>
  <c r="AL27" i="16"/>
  <c r="C32" i="1"/>
  <c r="BL32" i="18"/>
  <c r="BA33" i="1"/>
  <c r="AB33" i="1"/>
  <c r="AM33" i="44"/>
  <c r="AN32" i="44"/>
  <c r="AJ31" i="44"/>
  <c r="BH31" i="44"/>
  <c r="AT33" i="44"/>
  <c r="AU32" i="44"/>
  <c r="C33" i="44"/>
  <c r="AE33" i="44"/>
  <c r="AF32" i="44"/>
  <c r="AY33" i="44"/>
  <c r="AZ32" i="44"/>
  <c r="AH33" i="44"/>
  <c r="AI32" i="44"/>
  <c r="AA33" i="44"/>
  <c r="AQ33" i="44"/>
  <c r="AR32" i="44"/>
  <c r="AV31" i="44"/>
  <c r="Q24" i="16"/>
  <c r="AJ34" i="18"/>
  <c r="AK33" i="18"/>
  <c r="AZ33" i="21"/>
  <c r="AY34" i="21"/>
  <c r="AV33" i="23"/>
  <c r="AI37" i="18"/>
  <c r="AQ37" i="1"/>
  <c r="AS36" i="1"/>
  <c r="AN34" i="18"/>
  <c r="AO33" i="18"/>
  <c r="AM39" i="18"/>
  <c r="U34" i="18"/>
  <c r="V33" i="18"/>
  <c r="AM35" i="21"/>
  <c r="AS35" i="18"/>
  <c r="AQ36" i="18"/>
  <c r="AN36" i="23"/>
  <c r="AL37" i="23"/>
  <c r="B34" i="23"/>
  <c r="B35" i="21"/>
  <c r="AR34" i="17"/>
  <c r="AT33" i="17"/>
  <c r="A28" i="16"/>
  <c r="AJ33" i="1"/>
  <c r="AK32" i="1"/>
  <c r="AT35" i="21"/>
  <c r="AU34" i="21"/>
  <c r="AO33" i="1"/>
  <c r="AM34" i="1"/>
  <c r="AN34" i="21"/>
  <c r="AI35" i="1"/>
  <c r="AQ34" i="21"/>
  <c r="AR33" i="21"/>
  <c r="AV33" i="21" s="1"/>
  <c r="AL36" i="21"/>
  <c r="C34" i="21"/>
  <c r="AQ35" i="23"/>
  <c r="AR34" i="23"/>
  <c r="AU34" i="23"/>
  <c r="AT35" i="23"/>
  <c r="AY35" i="23"/>
  <c r="AZ34" i="23"/>
  <c r="B34" i="18"/>
  <c r="B33" i="1"/>
  <c r="B26" i="16"/>
  <c r="C26" i="16" s="1"/>
  <c r="AW36" i="17"/>
  <c r="AX35" i="17"/>
  <c r="AO36" i="17"/>
  <c r="AP35" i="17"/>
  <c r="AS36" i="17"/>
  <c r="AE34" i="21"/>
  <c r="AG33" i="1"/>
  <c r="AF34" i="1"/>
  <c r="P36" i="21"/>
  <c r="Q35" i="21"/>
  <c r="N34" i="1"/>
  <c r="M35" i="1"/>
  <c r="L34" i="21"/>
  <c r="M33" i="21"/>
  <c r="Z34" i="18"/>
  <c r="Y35" i="18"/>
  <c r="Q36" i="1"/>
  <c r="R35" i="1"/>
  <c r="J33" i="18"/>
  <c r="I34" i="18"/>
  <c r="M34" i="18"/>
  <c r="N33" i="18"/>
  <c r="W34" i="17"/>
  <c r="V35" i="17"/>
  <c r="R36" i="17"/>
  <c r="S35" i="17"/>
  <c r="Y32" i="23"/>
  <c r="X33" i="23"/>
  <c r="AD36" i="17"/>
  <c r="AE35" i="17"/>
  <c r="T33" i="23"/>
  <c r="U32" i="23"/>
  <c r="X34" i="21"/>
  <c r="Y33" i="21"/>
  <c r="I34" i="1"/>
  <c r="J33" i="1"/>
  <c r="L33" i="23"/>
  <c r="M32" i="23"/>
  <c r="T34" i="21"/>
  <c r="U33" i="21"/>
  <c r="Y33" i="1"/>
  <c r="Z32" i="1"/>
  <c r="V34" i="1"/>
  <c r="U35" i="1"/>
  <c r="P33" i="23"/>
  <c r="Q32" i="23"/>
  <c r="Z35" i="17"/>
  <c r="AA34" i="17"/>
  <c r="R34" i="18"/>
  <c r="Q35" i="18"/>
  <c r="AH33" i="23"/>
  <c r="AI32" i="23"/>
  <c r="AE33" i="23"/>
  <c r="AF32" i="23"/>
  <c r="AK37" i="17"/>
  <c r="AL36" i="17"/>
  <c r="AH36" i="21"/>
  <c r="AI35" i="21"/>
  <c r="AA33" i="23"/>
  <c r="AA35" i="21"/>
  <c r="AF36" i="18"/>
  <c r="AG35" i="18"/>
  <c r="AB34" i="18"/>
  <c r="BH31" i="23"/>
  <c r="AJ31" i="23"/>
  <c r="M36" i="17" l="1"/>
  <c r="J27" i="16"/>
  <c r="AQ28" i="16"/>
  <c r="AR28" i="16"/>
  <c r="AF28" i="16"/>
  <c r="AE28" i="16"/>
  <c r="AG28" i="16"/>
  <c r="U28" i="16"/>
  <c r="AD28" i="16"/>
  <c r="AB28" i="16"/>
  <c r="V28" i="16"/>
  <c r="AS28" i="16"/>
  <c r="AP28" i="16"/>
  <c r="AN28" i="16"/>
  <c r="R28" i="16"/>
  <c r="I28" i="16"/>
  <c r="AI28" i="16"/>
  <c r="AH28" i="16"/>
  <c r="AJ28" i="16"/>
  <c r="AM28" i="16"/>
  <c r="AK28" i="16"/>
  <c r="AL28" i="16"/>
  <c r="C33" i="1"/>
  <c r="BL33" i="18"/>
  <c r="AB34" i="1"/>
  <c r="BA34" i="1"/>
  <c r="AY34" i="44"/>
  <c r="AZ33" i="44"/>
  <c r="AA34" i="44"/>
  <c r="AH34" i="44"/>
  <c r="AI33" i="44"/>
  <c r="AJ32" i="44"/>
  <c r="BH32" i="44"/>
  <c r="AT34" i="44"/>
  <c r="AU33" i="44"/>
  <c r="AQ34" i="44"/>
  <c r="AR33" i="44"/>
  <c r="AE34" i="44"/>
  <c r="AF33" i="44"/>
  <c r="AV32" i="44"/>
  <c r="C34" i="44"/>
  <c r="AN35" i="21"/>
  <c r="AM34" i="44"/>
  <c r="AN33" i="44"/>
  <c r="AJ35" i="18"/>
  <c r="AK34" i="18"/>
  <c r="B35" i="23"/>
  <c r="B36" i="21"/>
  <c r="AM35" i="1"/>
  <c r="AO34" i="1"/>
  <c r="AS37" i="1"/>
  <c r="AQ38" i="1"/>
  <c r="AM36" i="21"/>
  <c r="C35" i="21"/>
  <c r="AR34" i="21"/>
  <c r="AV34" i="21" s="1"/>
  <c r="AQ35" i="21"/>
  <c r="AI36" i="1"/>
  <c r="AU35" i="21"/>
  <c r="AT36" i="21"/>
  <c r="AR35" i="17"/>
  <c r="AT34" i="17"/>
  <c r="AN37" i="23"/>
  <c r="AL38" i="23"/>
  <c r="V34" i="18"/>
  <c r="U35" i="18"/>
  <c r="AI38" i="18"/>
  <c r="AY35" i="21"/>
  <c r="AZ34" i="21"/>
  <c r="A29" i="16"/>
  <c r="AV34" i="23"/>
  <c r="AL37" i="21"/>
  <c r="AJ34" i="1"/>
  <c r="AK33" i="1"/>
  <c r="AS36" i="18"/>
  <c r="AQ37" i="18"/>
  <c r="AM40" i="18"/>
  <c r="AN35" i="18"/>
  <c r="AO34" i="18"/>
  <c r="AR35" i="23"/>
  <c r="AQ36" i="23"/>
  <c r="AU35" i="23"/>
  <c r="AV35" i="23" s="1"/>
  <c r="AT36" i="23"/>
  <c r="AY36" i="23"/>
  <c r="AZ35" i="23"/>
  <c r="B35" i="18"/>
  <c r="B27" i="16"/>
  <c r="C27" i="16" s="1"/>
  <c r="B34" i="1"/>
  <c r="AW37" i="17"/>
  <c r="AX36" i="17"/>
  <c r="AS37" i="17"/>
  <c r="AO37" i="17"/>
  <c r="AP36" i="17"/>
  <c r="AG34" i="1"/>
  <c r="AF35" i="1"/>
  <c r="AE35" i="21"/>
  <c r="P37" i="21"/>
  <c r="Q36" i="21"/>
  <c r="P34" i="23"/>
  <c r="Q33" i="23"/>
  <c r="T35" i="21"/>
  <c r="U34" i="21"/>
  <c r="L34" i="23"/>
  <c r="M33" i="23"/>
  <c r="J34" i="1"/>
  <c r="I35" i="1"/>
  <c r="X35" i="21"/>
  <c r="Y34" i="21"/>
  <c r="AD37" i="17"/>
  <c r="AE36" i="17"/>
  <c r="V36" i="17"/>
  <c r="W35" i="17"/>
  <c r="J34" i="18"/>
  <c r="I35" i="18"/>
  <c r="Q36" i="18"/>
  <c r="R35" i="18"/>
  <c r="X34" i="23"/>
  <c r="Y33" i="23"/>
  <c r="N34" i="18"/>
  <c r="M35" i="18"/>
  <c r="Q25" i="16"/>
  <c r="Q37" i="1"/>
  <c r="R36" i="1"/>
  <c r="M36" i="1"/>
  <c r="N35" i="1"/>
  <c r="U36" i="1"/>
  <c r="V35" i="1"/>
  <c r="S36" i="17"/>
  <c r="R37" i="17"/>
  <c r="L35" i="21"/>
  <c r="M34" i="21"/>
  <c r="Z36" i="17"/>
  <c r="AA35" i="17"/>
  <c r="Y34" i="1"/>
  <c r="Z33" i="1"/>
  <c r="T34" i="23"/>
  <c r="U33" i="23"/>
  <c r="Y36" i="18"/>
  <c r="Z35" i="18"/>
  <c r="AA34" i="23"/>
  <c r="AE34" i="23"/>
  <c r="AF33" i="23"/>
  <c r="AH34" i="23"/>
  <c r="AI33" i="23"/>
  <c r="AB35" i="18"/>
  <c r="AH37" i="21"/>
  <c r="AI36" i="21"/>
  <c r="AL37" i="17"/>
  <c r="AK38" i="17"/>
  <c r="AG36" i="18"/>
  <c r="AF37" i="18"/>
  <c r="AA36" i="21"/>
  <c r="BH32" i="23"/>
  <c r="AJ32" i="23"/>
  <c r="M37" i="17" l="1"/>
  <c r="J28" i="16"/>
  <c r="AQ29" i="16"/>
  <c r="AR29" i="16"/>
  <c r="AF29" i="16"/>
  <c r="AE29" i="16"/>
  <c r="AG29" i="16"/>
  <c r="AD29" i="16"/>
  <c r="AB29" i="16"/>
  <c r="U29" i="16"/>
  <c r="V29" i="16"/>
  <c r="AS29" i="16"/>
  <c r="AP29" i="16"/>
  <c r="AN29" i="16"/>
  <c r="R29" i="16"/>
  <c r="I29" i="16"/>
  <c r="AI29" i="16"/>
  <c r="AH29" i="16"/>
  <c r="AJ29" i="16"/>
  <c r="AK29" i="16"/>
  <c r="AM29" i="16"/>
  <c r="AL29" i="16"/>
  <c r="C34" i="1"/>
  <c r="BL34" i="18"/>
  <c r="AV33" i="44"/>
  <c r="BA35" i="1"/>
  <c r="AB35" i="1"/>
  <c r="AJ33" i="44"/>
  <c r="BH33" i="44"/>
  <c r="AE35" i="44"/>
  <c r="AF34" i="44"/>
  <c r="AT35" i="44"/>
  <c r="AU34" i="44"/>
  <c r="AA35" i="44"/>
  <c r="AM35" i="44"/>
  <c r="AN34" i="44"/>
  <c r="AY35" i="44"/>
  <c r="AZ34" i="44"/>
  <c r="C35" i="44"/>
  <c r="AH35" i="44"/>
  <c r="AI34" i="44"/>
  <c r="AN36" i="21"/>
  <c r="AQ35" i="44"/>
  <c r="AR34" i="44"/>
  <c r="AJ36" i="18"/>
  <c r="AK35" i="18"/>
  <c r="A30" i="16"/>
  <c r="V35" i="18"/>
  <c r="U36" i="18"/>
  <c r="AI37" i="1"/>
  <c r="C36" i="21"/>
  <c r="AO35" i="1"/>
  <c r="AM36" i="1"/>
  <c r="AN36" i="18"/>
  <c r="AO35" i="18"/>
  <c r="AN38" i="23"/>
  <c r="AL39" i="23"/>
  <c r="AM37" i="21"/>
  <c r="AN37" i="21" s="1"/>
  <c r="B36" i="23"/>
  <c r="B37" i="21"/>
  <c r="AT37" i="21"/>
  <c r="AU36" i="21"/>
  <c r="AS38" i="1"/>
  <c r="AQ39" i="1"/>
  <c r="AS39" i="1" s="1"/>
  <c r="AM41" i="18"/>
  <c r="AJ35" i="1"/>
  <c r="AK34" i="1"/>
  <c r="AL38" i="21"/>
  <c r="AY36" i="21"/>
  <c r="AZ35" i="21"/>
  <c r="AS37" i="18"/>
  <c r="AQ38" i="18"/>
  <c r="AI39" i="18"/>
  <c r="AR36" i="17"/>
  <c r="AT35" i="17"/>
  <c r="AQ36" i="21"/>
  <c r="AR35" i="21"/>
  <c r="AV35" i="21" s="1"/>
  <c r="AQ37" i="23"/>
  <c r="AR36" i="23"/>
  <c r="AU36" i="23"/>
  <c r="AT37" i="23"/>
  <c r="AZ36" i="23"/>
  <c r="AY37" i="23"/>
  <c r="B28" i="16"/>
  <c r="C28" i="16" s="1"/>
  <c r="B36" i="18"/>
  <c r="B35" i="1"/>
  <c r="AX37" i="17"/>
  <c r="AW38" i="17"/>
  <c r="AS38" i="17"/>
  <c r="AO38" i="17"/>
  <c r="AP37" i="17"/>
  <c r="Q26" i="16"/>
  <c r="AE36" i="21"/>
  <c r="AG35" i="1"/>
  <c r="AF36" i="1"/>
  <c r="P38" i="21"/>
  <c r="Q37" i="21"/>
  <c r="Y37" i="18"/>
  <c r="Z36" i="18"/>
  <c r="T35" i="23"/>
  <c r="U34" i="23"/>
  <c r="Z37" i="17"/>
  <c r="AA36" i="17"/>
  <c r="U37" i="1"/>
  <c r="V36" i="1"/>
  <c r="R37" i="1"/>
  <c r="Q38" i="1"/>
  <c r="X36" i="21"/>
  <c r="Y35" i="21"/>
  <c r="L35" i="23"/>
  <c r="M34" i="23"/>
  <c r="I36" i="1"/>
  <c r="J35" i="1"/>
  <c r="Z34" i="1"/>
  <c r="Y35" i="1"/>
  <c r="L36" i="21"/>
  <c r="M35" i="21"/>
  <c r="N36" i="1"/>
  <c r="M37" i="1"/>
  <c r="M36" i="18"/>
  <c r="N35" i="18"/>
  <c r="Q37" i="18"/>
  <c r="R36" i="18"/>
  <c r="V37" i="17"/>
  <c r="W36" i="17"/>
  <c r="AD38" i="17"/>
  <c r="AE37" i="17"/>
  <c r="T36" i="21"/>
  <c r="U35" i="21"/>
  <c r="P35" i="23"/>
  <c r="Q34" i="23"/>
  <c r="R38" i="17"/>
  <c r="S37" i="17"/>
  <c r="X35" i="23"/>
  <c r="Y34" i="23"/>
  <c r="I36" i="18"/>
  <c r="J35" i="18"/>
  <c r="AA37" i="21"/>
  <c r="AH38" i="21"/>
  <c r="AI37" i="21"/>
  <c r="AA35" i="23"/>
  <c r="AL38" i="17"/>
  <c r="AK39" i="17"/>
  <c r="BH33" i="23"/>
  <c r="AJ33" i="23"/>
  <c r="AF38" i="18"/>
  <c r="AG37" i="18"/>
  <c r="AB36" i="18"/>
  <c r="AH35" i="23"/>
  <c r="AI34" i="23"/>
  <c r="AE35" i="23"/>
  <c r="AF34" i="23"/>
  <c r="M38" i="17" l="1"/>
  <c r="J29" i="16"/>
  <c r="AQ30" i="16"/>
  <c r="AR30" i="16"/>
  <c r="AF30" i="16"/>
  <c r="AE30" i="16"/>
  <c r="AD30" i="16"/>
  <c r="AG30" i="16"/>
  <c r="AB30" i="16"/>
  <c r="U30" i="16"/>
  <c r="V30" i="16"/>
  <c r="AS30" i="16"/>
  <c r="AN30" i="16"/>
  <c r="AP30" i="16"/>
  <c r="R30" i="16"/>
  <c r="I30" i="16"/>
  <c r="AI30" i="16"/>
  <c r="AH30" i="16"/>
  <c r="AJ30" i="16"/>
  <c r="AK30" i="16"/>
  <c r="AM30" i="16"/>
  <c r="AL30" i="16"/>
  <c r="C35" i="1"/>
  <c r="BL35" i="18"/>
  <c r="AB36" i="1"/>
  <c r="BA36" i="1"/>
  <c r="AE36" i="44"/>
  <c r="AF35" i="44"/>
  <c r="AQ36" i="44"/>
  <c r="AR35" i="44"/>
  <c r="AY36" i="44"/>
  <c r="AZ35" i="44"/>
  <c r="AA36" i="44"/>
  <c r="C36" i="44"/>
  <c r="AV34" i="44"/>
  <c r="AT36" i="44"/>
  <c r="AU35" i="44"/>
  <c r="AH36" i="44"/>
  <c r="AI35" i="44"/>
  <c r="AM36" i="44"/>
  <c r="AN35" i="44"/>
  <c r="AJ34" i="44"/>
  <c r="BH34" i="44"/>
  <c r="AJ37" i="18"/>
  <c r="AK36" i="18"/>
  <c r="AV36" i="23"/>
  <c r="AR36" i="21"/>
  <c r="AV36" i="21" s="1"/>
  <c r="AQ37" i="21"/>
  <c r="AS38" i="18"/>
  <c r="AQ39" i="18"/>
  <c r="AY37" i="21"/>
  <c r="AZ36" i="21"/>
  <c r="U37" i="18"/>
  <c r="V36" i="18"/>
  <c r="B37" i="23"/>
  <c r="B38" i="21"/>
  <c r="AN37" i="18"/>
  <c r="AO36" i="18"/>
  <c r="C37" i="21"/>
  <c r="AL39" i="21"/>
  <c r="A31" i="16"/>
  <c r="AI38" i="1"/>
  <c r="AI40" i="18"/>
  <c r="AN39" i="23"/>
  <c r="AL40" i="23"/>
  <c r="AO36" i="1"/>
  <c r="AM37" i="1"/>
  <c r="AR37" i="17"/>
  <c r="AT36" i="17"/>
  <c r="AJ36" i="1"/>
  <c r="AK35" i="1"/>
  <c r="AU37" i="21"/>
  <c r="AT38" i="21"/>
  <c r="AM38" i="21"/>
  <c r="AQ38" i="23"/>
  <c r="AR37" i="23"/>
  <c r="AT38" i="23"/>
  <c r="AU37" i="23"/>
  <c r="AY38" i="23"/>
  <c r="AZ37" i="23"/>
  <c r="B36" i="1"/>
  <c r="B37" i="18"/>
  <c r="B29" i="16"/>
  <c r="C29" i="16" s="1"/>
  <c r="AW39" i="17"/>
  <c r="AX38" i="17"/>
  <c r="AO39" i="17"/>
  <c r="AP38" i="17"/>
  <c r="AS39" i="17"/>
  <c r="Q27" i="16"/>
  <c r="AG36" i="1"/>
  <c r="AF37" i="1"/>
  <c r="AE37" i="21"/>
  <c r="P39" i="21"/>
  <c r="Q38" i="21"/>
  <c r="I37" i="18"/>
  <c r="J36" i="18"/>
  <c r="R39" i="17"/>
  <c r="S38" i="17"/>
  <c r="P36" i="23"/>
  <c r="Q35" i="23"/>
  <c r="V38" i="17"/>
  <c r="W37" i="17"/>
  <c r="M38" i="1"/>
  <c r="N37" i="1"/>
  <c r="X37" i="21"/>
  <c r="Y36" i="21"/>
  <c r="Z38" i="17"/>
  <c r="AA37" i="17"/>
  <c r="T36" i="23"/>
  <c r="U35" i="23"/>
  <c r="M37" i="18"/>
  <c r="N36" i="18"/>
  <c r="L37" i="21"/>
  <c r="M36" i="21"/>
  <c r="Q39" i="1"/>
  <c r="R39" i="1" s="1"/>
  <c r="R38" i="1"/>
  <c r="X36" i="23"/>
  <c r="Y35" i="23"/>
  <c r="T37" i="21"/>
  <c r="U36" i="21"/>
  <c r="AE38" i="17"/>
  <c r="AD39" i="17"/>
  <c r="Y36" i="1"/>
  <c r="Z35" i="1"/>
  <c r="J36" i="1"/>
  <c r="I37" i="1"/>
  <c r="L36" i="23"/>
  <c r="M35" i="23"/>
  <c r="V37" i="1"/>
  <c r="U38" i="1"/>
  <c r="Y38" i="18"/>
  <c r="Z37" i="18"/>
  <c r="Q38" i="18"/>
  <c r="R37" i="18"/>
  <c r="BH34" i="23"/>
  <c r="AJ34" i="23"/>
  <c r="AA38" i="21"/>
  <c r="AE36" i="23"/>
  <c r="AF35" i="23"/>
  <c r="AF39" i="18"/>
  <c r="AG38" i="18"/>
  <c r="AA36" i="23"/>
  <c r="AI35" i="23"/>
  <c r="AH36" i="23"/>
  <c r="AB37" i="18"/>
  <c r="AK40" i="17"/>
  <c r="AL39" i="17"/>
  <c r="AH39" i="21"/>
  <c r="AI38" i="21"/>
  <c r="M39" i="17" l="1"/>
  <c r="J30" i="16"/>
  <c r="AQ31" i="16"/>
  <c r="AR31" i="16"/>
  <c r="AE31" i="16"/>
  <c r="AF31" i="16"/>
  <c r="AG31" i="16"/>
  <c r="AB31" i="16"/>
  <c r="U31" i="16"/>
  <c r="AD31" i="16"/>
  <c r="V31" i="16"/>
  <c r="AS31" i="16"/>
  <c r="AN31" i="16"/>
  <c r="AP31" i="16"/>
  <c r="R31" i="16"/>
  <c r="I31" i="16"/>
  <c r="AI31" i="16"/>
  <c r="AH31" i="16"/>
  <c r="AJ31" i="16"/>
  <c r="AK31" i="16"/>
  <c r="AM31" i="16"/>
  <c r="AL31" i="16"/>
  <c r="C36" i="1"/>
  <c r="BL36" i="18"/>
  <c r="AV35" i="44"/>
  <c r="BA37" i="1"/>
  <c r="AB37" i="1"/>
  <c r="AT37" i="44"/>
  <c r="AU36" i="44"/>
  <c r="AQ37" i="44"/>
  <c r="AR36" i="44"/>
  <c r="AJ35" i="44"/>
  <c r="BH35" i="44"/>
  <c r="AE37" i="44"/>
  <c r="AF36" i="44"/>
  <c r="C37" i="44"/>
  <c r="AN38" i="21"/>
  <c r="AA37" i="44"/>
  <c r="AM37" i="44"/>
  <c r="AN36" i="44"/>
  <c r="AH37" i="44"/>
  <c r="AI36" i="44"/>
  <c r="AY37" i="44"/>
  <c r="AZ36" i="44"/>
  <c r="AJ38" i="18"/>
  <c r="AK37" i="18"/>
  <c r="AV37" i="23"/>
  <c r="AI39" i="1"/>
  <c r="AJ37" i="1"/>
  <c r="AK36" i="1"/>
  <c r="U38" i="18"/>
  <c r="V37" i="18"/>
  <c r="AL40" i="21"/>
  <c r="B38" i="23"/>
  <c r="B39" i="21"/>
  <c r="AR38" i="17"/>
  <c r="AT37" i="17"/>
  <c r="AM39" i="21"/>
  <c r="A32" i="16"/>
  <c r="AR37" i="21"/>
  <c r="AV37" i="21" s="1"/>
  <c r="AQ38" i="21"/>
  <c r="AS39" i="18"/>
  <c r="AQ40" i="18"/>
  <c r="AN38" i="18"/>
  <c r="AO37" i="18"/>
  <c r="AI41" i="18"/>
  <c r="AO37" i="1"/>
  <c r="AM38" i="1"/>
  <c r="AN40" i="23"/>
  <c r="AL41" i="23"/>
  <c r="AN41" i="23" s="1"/>
  <c r="AT39" i="21"/>
  <c r="AU38" i="21"/>
  <c r="C38" i="21"/>
  <c r="AY38" i="21"/>
  <c r="AZ37" i="21"/>
  <c r="AQ39" i="23"/>
  <c r="AR38" i="23"/>
  <c r="AU38" i="23"/>
  <c r="AT39" i="23"/>
  <c r="AZ38" i="23"/>
  <c r="AY39" i="23"/>
  <c r="B38" i="18"/>
  <c r="B37" i="1"/>
  <c r="B30" i="16"/>
  <c r="C30" i="16" s="1"/>
  <c r="AW40" i="17"/>
  <c r="AX39" i="17"/>
  <c r="AS40" i="17"/>
  <c r="AO40" i="17"/>
  <c r="AP39" i="17"/>
  <c r="Q28" i="16"/>
  <c r="AG37" i="1"/>
  <c r="AF38" i="1"/>
  <c r="AE38" i="21"/>
  <c r="P40" i="21"/>
  <c r="Q39" i="21"/>
  <c r="I38" i="1"/>
  <c r="J37" i="1"/>
  <c r="AD40" i="17"/>
  <c r="AE39" i="17"/>
  <c r="V39" i="17"/>
  <c r="W38" i="17"/>
  <c r="I38" i="18"/>
  <c r="J37" i="18"/>
  <c r="Z38" i="18"/>
  <c r="Y39" i="18"/>
  <c r="Y37" i="1"/>
  <c r="Z36" i="1"/>
  <c r="Y36" i="23"/>
  <c r="X37" i="23"/>
  <c r="M38" i="18"/>
  <c r="N37" i="18"/>
  <c r="AA38" i="17"/>
  <c r="Z39" i="17"/>
  <c r="X38" i="21"/>
  <c r="Y37" i="21"/>
  <c r="U39" i="1"/>
  <c r="V39" i="1" s="1"/>
  <c r="V38" i="1"/>
  <c r="M39" i="1"/>
  <c r="N39" i="1" s="1"/>
  <c r="N38" i="1"/>
  <c r="P37" i="23"/>
  <c r="Q36" i="23"/>
  <c r="R40" i="17"/>
  <c r="S39" i="17"/>
  <c r="R38" i="18"/>
  <c r="Q39" i="18"/>
  <c r="L37" i="23"/>
  <c r="M36" i="23"/>
  <c r="T38" i="21"/>
  <c r="U37" i="21"/>
  <c r="L38" i="21"/>
  <c r="M37" i="21"/>
  <c r="T37" i="23"/>
  <c r="U36" i="23"/>
  <c r="AA39" i="21"/>
  <c r="AH40" i="21"/>
  <c r="AI39" i="21"/>
  <c r="AL40" i="17"/>
  <c r="AK41" i="17"/>
  <c r="AL41" i="17" s="1"/>
  <c r="AB38" i="18"/>
  <c r="AA37" i="23"/>
  <c r="AH37" i="23"/>
  <c r="AI36" i="23"/>
  <c r="BH35" i="23"/>
  <c r="AJ35" i="23"/>
  <c r="AF40" i="18"/>
  <c r="AG39" i="18"/>
  <c r="AE37" i="23"/>
  <c r="AF36" i="23"/>
  <c r="M40" i="17" l="1"/>
  <c r="J31" i="16"/>
  <c r="AQ32" i="16"/>
  <c r="AR32" i="16"/>
  <c r="AF32" i="16"/>
  <c r="AE32" i="16"/>
  <c r="AG32" i="16"/>
  <c r="AD32" i="16"/>
  <c r="AB32" i="16"/>
  <c r="U32" i="16"/>
  <c r="V32" i="16"/>
  <c r="AS32" i="16"/>
  <c r="AN32" i="16"/>
  <c r="AP32" i="16"/>
  <c r="R32" i="16"/>
  <c r="I32" i="16"/>
  <c r="AI32" i="16"/>
  <c r="AH32" i="16"/>
  <c r="AJ32" i="16"/>
  <c r="AM32" i="16"/>
  <c r="AK32" i="16"/>
  <c r="AL32" i="16"/>
  <c r="C37" i="1"/>
  <c r="BL37" i="18"/>
  <c r="AB38" i="1"/>
  <c r="AV36" i="44"/>
  <c r="BA38" i="1"/>
  <c r="AY38" i="44"/>
  <c r="AZ37" i="44"/>
  <c r="C38" i="44"/>
  <c r="AQ38" i="44"/>
  <c r="AR37" i="44"/>
  <c r="AH38" i="44"/>
  <c r="AI37" i="44"/>
  <c r="AN39" i="21"/>
  <c r="AT38" i="44"/>
  <c r="AU37" i="44"/>
  <c r="AE38" i="44"/>
  <c r="AF37" i="44"/>
  <c r="AA38" i="44"/>
  <c r="AJ36" i="44"/>
  <c r="BH36" i="44"/>
  <c r="AM38" i="44"/>
  <c r="AN37" i="44"/>
  <c r="AJ39" i="18"/>
  <c r="AK38" i="18"/>
  <c r="U39" i="18"/>
  <c r="V38" i="18"/>
  <c r="AY39" i="21"/>
  <c r="AZ38" i="21"/>
  <c r="AM39" i="1"/>
  <c r="AO39" i="1" s="1"/>
  <c r="AO38" i="1"/>
  <c r="AN39" i="18"/>
  <c r="AO38" i="18"/>
  <c r="B39" i="23"/>
  <c r="B40" i="21"/>
  <c r="AQ39" i="21"/>
  <c r="AR38" i="21"/>
  <c r="AV38" i="21" s="1"/>
  <c r="AJ38" i="1"/>
  <c r="AK37" i="1"/>
  <c r="C39" i="21"/>
  <c r="A33" i="16"/>
  <c r="AM40" i="21"/>
  <c r="AS40" i="18"/>
  <c r="AQ41" i="18"/>
  <c r="AS41" i="18" s="1"/>
  <c r="Q29" i="16"/>
  <c r="AL41" i="21"/>
  <c r="AR39" i="17"/>
  <c r="AT38" i="17"/>
  <c r="AT40" i="21"/>
  <c r="AU39" i="21"/>
  <c r="AR39" i="23"/>
  <c r="AQ40" i="23"/>
  <c r="AV38" i="23"/>
  <c r="AU39" i="23"/>
  <c r="AT40" i="23"/>
  <c r="AY40" i="23"/>
  <c r="AZ39" i="23"/>
  <c r="B31" i="16"/>
  <c r="C31" i="16" s="1"/>
  <c r="B38" i="1"/>
  <c r="B39" i="18"/>
  <c r="AX40" i="17"/>
  <c r="AW41" i="17"/>
  <c r="AX41" i="17" s="1"/>
  <c r="AO41" i="17"/>
  <c r="AP41" i="17" s="1"/>
  <c r="AP40" i="17"/>
  <c r="AS41" i="17"/>
  <c r="AE39" i="21"/>
  <c r="AG38" i="1"/>
  <c r="AF39" i="1"/>
  <c r="AG39" i="1" s="1"/>
  <c r="P41" i="21"/>
  <c r="Q41" i="21" s="1"/>
  <c r="Q40" i="21"/>
  <c r="T38" i="23"/>
  <c r="U37" i="23"/>
  <c r="Z40" i="17"/>
  <c r="AA39" i="17"/>
  <c r="R41" i="17"/>
  <c r="S41" i="17" s="1"/>
  <c r="S40" i="17"/>
  <c r="X39" i="21"/>
  <c r="Y38" i="21"/>
  <c r="I39" i="18"/>
  <c r="J38" i="18"/>
  <c r="W39" i="17"/>
  <c r="V40" i="17"/>
  <c r="J38" i="1"/>
  <c r="I39" i="1"/>
  <c r="J39" i="1" s="1"/>
  <c r="X38" i="23"/>
  <c r="Y37" i="23"/>
  <c r="Y40" i="18"/>
  <c r="Z39" i="18"/>
  <c r="L39" i="21"/>
  <c r="M38" i="21"/>
  <c r="T39" i="21"/>
  <c r="U38" i="21"/>
  <c r="Q40" i="18"/>
  <c r="R39" i="18"/>
  <c r="L38" i="23"/>
  <c r="M37" i="23"/>
  <c r="P38" i="23"/>
  <c r="Q37" i="23"/>
  <c r="N38" i="18"/>
  <c r="M39" i="18"/>
  <c r="Z37" i="1"/>
  <c r="Y38" i="1"/>
  <c r="AD41" i="17"/>
  <c r="AE41" i="17" s="1"/>
  <c r="AE40" i="17"/>
  <c r="AI37" i="23"/>
  <c r="AH38" i="23"/>
  <c r="AA38" i="23"/>
  <c r="AA40" i="21"/>
  <c r="BH36" i="23"/>
  <c r="AJ36" i="23"/>
  <c r="AE38" i="23"/>
  <c r="AF37" i="23"/>
  <c r="AG40" i="18"/>
  <c r="AF41" i="18"/>
  <c r="AG41" i="18" s="1"/>
  <c r="AB39" i="18"/>
  <c r="AH41" i="21"/>
  <c r="AI41" i="21" s="1"/>
  <c r="AI40" i="21"/>
  <c r="M41" i="17" l="1"/>
  <c r="J32" i="16"/>
  <c r="AQ33" i="16"/>
  <c r="AR33" i="16"/>
  <c r="AE33" i="16"/>
  <c r="AF33" i="16"/>
  <c r="AD33" i="16"/>
  <c r="AB33" i="16"/>
  <c r="AG33" i="16"/>
  <c r="U33" i="16"/>
  <c r="V33" i="16"/>
  <c r="AS33" i="16"/>
  <c r="AN33" i="16"/>
  <c r="AP33" i="16"/>
  <c r="R33" i="16"/>
  <c r="I33" i="16"/>
  <c r="AI33" i="16"/>
  <c r="AH33" i="16"/>
  <c r="AJ33" i="16"/>
  <c r="AK33" i="16"/>
  <c r="AM33" i="16"/>
  <c r="AL33" i="16"/>
  <c r="C38" i="1"/>
  <c r="BL38" i="18"/>
  <c r="BA39" i="1"/>
  <c r="BB39" i="1" s="1"/>
  <c r="AB39" i="1"/>
  <c r="AH39" i="44"/>
  <c r="AI38" i="44"/>
  <c r="C39" i="44"/>
  <c r="AQ39" i="44"/>
  <c r="AR38" i="44"/>
  <c r="AM39" i="44"/>
  <c r="AN38" i="44"/>
  <c r="AA39" i="44"/>
  <c r="AV37" i="44"/>
  <c r="AN40" i="21"/>
  <c r="AJ37" i="44"/>
  <c r="BH37" i="44"/>
  <c r="AT39" i="44"/>
  <c r="AU38" i="44"/>
  <c r="AE39" i="44"/>
  <c r="AF38" i="44"/>
  <c r="AY39" i="44"/>
  <c r="AZ38" i="44"/>
  <c r="Q30" i="16"/>
  <c r="AJ40" i="18"/>
  <c r="AK39" i="18"/>
  <c r="AR40" i="17"/>
  <c r="AT39" i="17"/>
  <c r="AV39" i="23"/>
  <c r="C40" i="21"/>
  <c r="V39" i="18"/>
  <c r="U40" i="18"/>
  <c r="B40" i="23"/>
  <c r="B41" i="21"/>
  <c r="AY40" i="21"/>
  <c r="AZ39" i="21"/>
  <c r="AN40" i="18"/>
  <c r="AO39" i="18"/>
  <c r="AM41" i="21"/>
  <c r="AJ39" i="1"/>
  <c r="AK38" i="1"/>
  <c r="AU40" i="21"/>
  <c r="AT41" i="21"/>
  <c r="AU41" i="21" s="1"/>
  <c r="AR39" i="21"/>
  <c r="AV39" i="21" s="1"/>
  <c r="AQ40" i="21"/>
  <c r="AQ41" i="23"/>
  <c r="AR41" i="23" s="1"/>
  <c r="AR40" i="23"/>
  <c r="AU40" i="23"/>
  <c r="AT41" i="23"/>
  <c r="AU41" i="23" s="1"/>
  <c r="AY41" i="23"/>
  <c r="AZ41" i="23" s="1"/>
  <c r="AZ40" i="23"/>
  <c r="B32" i="16"/>
  <c r="C32" i="16" s="1"/>
  <c r="B40" i="18"/>
  <c r="B39" i="1"/>
  <c r="AE40" i="21"/>
  <c r="T40" i="21"/>
  <c r="U39" i="21"/>
  <c r="L39" i="23"/>
  <c r="M38" i="23"/>
  <c r="Q41" i="18"/>
  <c r="R41" i="18" s="1"/>
  <c r="R40" i="18"/>
  <c r="Y39" i="1"/>
  <c r="Z39" i="1" s="1"/>
  <c r="Z38" i="1"/>
  <c r="I40" i="18"/>
  <c r="J39" i="18"/>
  <c r="Z41" i="17"/>
  <c r="AA41" i="17" s="1"/>
  <c r="AA40" i="17"/>
  <c r="T39" i="23"/>
  <c r="U38" i="23"/>
  <c r="P39" i="23"/>
  <c r="Q38" i="23"/>
  <c r="L40" i="21"/>
  <c r="M39" i="21"/>
  <c r="V41" i="17"/>
  <c r="W41" i="17" s="1"/>
  <c r="W40" i="17"/>
  <c r="M40" i="18"/>
  <c r="N39" i="18"/>
  <c r="Y41" i="18"/>
  <c r="Z41" i="18" s="1"/>
  <c r="Z40" i="18"/>
  <c r="X39" i="23"/>
  <c r="Y38" i="23"/>
  <c r="X40" i="21"/>
  <c r="Y39" i="21"/>
  <c r="AB40" i="18"/>
  <c r="AE39" i="23"/>
  <c r="AF38" i="23"/>
  <c r="AA41" i="21"/>
  <c r="AB41" i="21" s="1"/>
  <c r="AI38" i="23"/>
  <c r="AH39" i="23"/>
  <c r="BH37" i="23"/>
  <c r="AJ37" i="23"/>
  <c r="AA39" i="23"/>
  <c r="J33" i="16" l="1"/>
  <c r="F39" i="1"/>
  <c r="C39" i="1"/>
  <c r="AC39" i="1"/>
  <c r="BL39" i="18"/>
  <c r="AQ40" i="44"/>
  <c r="AR39" i="44"/>
  <c r="AM40" i="44"/>
  <c r="AN39" i="44"/>
  <c r="AH40" i="44"/>
  <c r="AI39" i="44"/>
  <c r="AJ38" i="44"/>
  <c r="BH38" i="44"/>
  <c r="AV38" i="44"/>
  <c r="AY40" i="44"/>
  <c r="AZ39" i="44"/>
  <c r="AE40" i="44"/>
  <c r="AF39" i="44"/>
  <c r="AT40" i="44"/>
  <c r="AU39" i="44"/>
  <c r="AA40" i="44"/>
  <c r="C40" i="44"/>
  <c r="AV41" i="23"/>
  <c r="AJ41" i="18"/>
  <c r="AK41" i="18" s="1"/>
  <c r="AK40" i="18"/>
  <c r="AV40" i="23"/>
  <c r="AN41" i="21"/>
  <c r="AN41" i="18"/>
  <c r="AO41" i="18" s="1"/>
  <c r="AO40" i="18"/>
  <c r="AK39" i="1"/>
  <c r="AR40" i="21"/>
  <c r="AV40" i="21" s="1"/>
  <c r="AQ41" i="21"/>
  <c r="AR41" i="21" s="1"/>
  <c r="AV41" i="21" s="1"/>
  <c r="AZ40" i="21"/>
  <c r="AY41" i="21"/>
  <c r="AZ41" i="21" s="1"/>
  <c r="U41" i="18"/>
  <c r="V41" i="18" s="1"/>
  <c r="V40" i="18"/>
  <c r="C41" i="21"/>
  <c r="B41" i="23"/>
  <c r="H41" i="23" s="1"/>
  <c r="H41" i="21"/>
  <c r="AR41" i="17"/>
  <c r="AT41" i="17" s="1"/>
  <c r="AT40" i="17"/>
  <c r="B33" i="16"/>
  <c r="C33" i="16" s="1"/>
  <c r="B41" i="18"/>
  <c r="I41" i="23"/>
  <c r="Q31" i="16"/>
  <c r="AE41" i="21"/>
  <c r="AF41" i="21" s="1"/>
  <c r="AJ41" i="21" s="1"/>
  <c r="X41" i="21"/>
  <c r="Y41" i="21" s="1"/>
  <c r="Y40" i="21"/>
  <c r="X40" i="23"/>
  <c r="Y39" i="23"/>
  <c r="L41" i="21"/>
  <c r="M41" i="21" s="1"/>
  <c r="M40" i="21"/>
  <c r="I41" i="18"/>
  <c r="J41" i="18" s="1"/>
  <c r="J40" i="18"/>
  <c r="L40" i="23"/>
  <c r="M39" i="23"/>
  <c r="P40" i="23"/>
  <c r="Q39" i="23"/>
  <c r="M41" i="18"/>
  <c r="N41" i="18" s="1"/>
  <c r="N40" i="18"/>
  <c r="T40" i="23"/>
  <c r="U39" i="23"/>
  <c r="T41" i="21"/>
  <c r="U41" i="21" s="1"/>
  <c r="U40" i="21"/>
  <c r="BH38" i="23"/>
  <c r="AJ38" i="23"/>
  <c r="AI39" i="23"/>
  <c r="AH40" i="23"/>
  <c r="AE40" i="23"/>
  <c r="AF39" i="23"/>
  <c r="AB41" i="18"/>
  <c r="AA40" i="23"/>
  <c r="BL40" i="18" l="1"/>
  <c r="BL41" i="18"/>
  <c r="AJ39" i="44"/>
  <c r="BH39" i="44"/>
  <c r="AE41" i="44"/>
  <c r="AF41" i="44" s="1"/>
  <c r="AF40" i="44"/>
  <c r="AQ41" i="44"/>
  <c r="AR41" i="44" s="1"/>
  <c r="AR40" i="44"/>
  <c r="C41" i="44"/>
  <c r="AA41" i="44"/>
  <c r="AB41" i="44" s="1"/>
  <c r="AH41" i="44"/>
  <c r="AI41" i="44" s="1"/>
  <c r="AI40" i="44"/>
  <c r="AV39" i="44"/>
  <c r="AT41" i="44"/>
  <c r="AU41" i="44" s="1"/>
  <c r="AU40" i="44"/>
  <c r="AY41" i="44"/>
  <c r="AZ41" i="44" s="1"/>
  <c r="AZ40" i="44"/>
  <c r="AM41" i="44"/>
  <c r="AN41" i="44" s="1"/>
  <c r="AN40" i="44"/>
  <c r="I41" i="21"/>
  <c r="Q32" i="16"/>
  <c r="BH41" i="21"/>
  <c r="BD41" i="21"/>
  <c r="P41" i="23"/>
  <c r="Q41" i="23" s="1"/>
  <c r="Q40" i="23"/>
  <c r="L41" i="23"/>
  <c r="M41" i="23" s="1"/>
  <c r="M40" i="23"/>
  <c r="T41" i="23"/>
  <c r="U41" i="23" s="1"/>
  <c r="U40" i="23"/>
  <c r="X41" i="23"/>
  <c r="Y41" i="23" s="1"/>
  <c r="Y40" i="23"/>
  <c r="AH41" i="23"/>
  <c r="AI41" i="23" s="1"/>
  <c r="AI40" i="23"/>
  <c r="Q33" i="16"/>
  <c r="BH39" i="23"/>
  <c r="AJ39" i="23"/>
  <c r="AA41" i="23"/>
  <c r="AB41" i="23" s="1"/>
  <c r="AF40" i="23"/>
  <c r="AE41" i="23"/>
  <c r="AF41" i="23" s="1"/>
  <c r="BF41" i="21" l="1"/>
  <c r="AV40" i="44"/>
  <c r="AV41" i="44"/>
  <c r="I41" i="44"/>
  <c r="AJ40" i="44"/>
  <c r="BH40" i="44"/>
  <c r="AJ41" i="44"/>
  <c r="BH41" i="44"/>
  <c r="BH41" i="23"/>
  <c r="AJ41" i="23"/>
  <c r="BD41" i="23" s="1"/>
  <c r="BH40" i="23"/>
  <c r="AJ40" i="23"/>
  <c r="BD41" i="44" l="1"/>
  <c r="BF41" i="44" s="1"/>
  <c r="BF41" i="23"/>
  <c r="I21" i="21" l="1"/>
  <c r="X18" i="16" s="1"/>
  <c r="AB21" i="21"/>
  <c r="BB8" i="21"/>
  <c r="AD22" i="21" l="1"/>
  <c r="AF22" i="21" s="1"/>
  <c r="BB22" i="21"/>
  <c r="AJ22" i="21"/>
  <c r="BH22" i="21"/>
  <c r="AA19" i="16" s="1"/>
  <c r="AD8" i="21"/>
  <c r="AF8" i="21" s="1"/>
  <c r="BH8" i="21" s="1"/>
  <c r="AA5" i="16" s="1"/>
  <c r="BD21" i="21"/>
  <c r="AB22" i="21"/>
  <c r="I22" i="21"/>
  <c r="X19" i="16" s="1"/>
  <c r="I8" i="21"/>
  <c r="X5" i="16" s="1"/>
  <c r="AB8" i="21"/>
  <c r="BF21" i="21" l="1"/>
  <c r="Z18" i="16" s="1"/>
  <c r="Y18" i="16"/>
  <c r="AD23" i="21"/>
  <c r="AF23" i="21" s="1"/>
  <c r="AJ23" i="21" s="1"/>
  <c r="BB23" i="21"/>
  <c r="AD9" i="21"/>
  <c r="AF9" i="21" s="1"/>
  <c r="AJ9" i="21" s="1"/>
  <c r="BB9" i="21"/>
  <c r="I9" i="21"/>
  <c r="X6" i="16" s="1"/>
  <c r="AB9" i="21"/>
  <c r="BH23" i="21"/>
  <c r="AA20" i="16" s="1"/>
  <c r="AJ8" i="21"/>
  <c r="BD8" i="21" s="1"/>
  <c r="Y5" i="16" s="1"/>
  <c r="AB23" i="21"/>
  <c r="I23" i="21"/>
  <c r="X20" i="16" s="1"/>
  <c r="BD22" i="21"/>
  <c r="Y19" i="16" s="1"/>
  <c r="BH9" i="21" l="1"/>
  <c r="AA6" i="16" s="1"/>
  <c r="AD10" i="21"/>
  <c r="AF10" i="21" s="1"/>
  <c r="AJ10" i="21" s="1"/>
  <c r="BB10" i="21"/>
  <c r="AD24" i="21"/>
  <c r="AF24" i="21" s="1"/>
  <c r="BH24" i="21" s="1"/>
  <c r="AA21" i="16" s="1"/>
  <c r="BB24" i="21"/>
  <c r="I10" i="21"/>
  <c r="X7" i="16" s="1"/>
  <c r="AB10" i="21"/>
  <c r="BD9" i="21"/>
  <c r="Y6" i="16" s="1"/>
  <c r="BF8" i="21"/>
  <c r="Z5" i="16" s="1"/>
  <c r="BF22" i="21"/>
  <c r="Z19" i="16" s="1"/>
  <c r="I24" i="21"/>
  <c r="X21" i="16" s="1"/>
  <c r="AB24" i="21"/>
  <c r="AB11" i="21"/>
  <c r="BD23" i="21"/>
  <c r="Y20" i="16" s="1"/>
  <c r="I11" i="21" l="1"/>
  <c r="X8" i="16" s="1"/>
  <c r="AJ24" i="21"/>
  <c r="BH10" i="21"/>
  <c r="AA7" i="16" s="1"/>
  <c r="BD10" i="21"/>
  <c r="AD25" i="21"/>
  <c r="AF25" i="21" s="1"/>
  <c r="AJ25" i="21" s="1"/>
  <c r="BB25" i="21"/>
  <c r="AD11" i="21"/>
  <c r="AF11" i="21" s="1"/>
  <c r="BB11" i="21"/>
  <c r="BF9" i="21"/>
  <c r="Z6" i="16" s="1"/>
  <c r="BD24" i="21"/>
  <c r="Y21" i="16" s="1"/>
  <c r="BF23" i="21"/>
  <c r="Z20" i="16" s="1"/>
  <c r="AB25" i="21"/>
  <c r="I25" i="21"/>
  <c r="X22" i="16" s="1"/>
  <c r="I12" i="21" l="1"/>
  <c r="X9" i="16" s="1"/>
  <c r="AD12" i="21"/>
  <c r="AF12" i="21" s="1"/>
  <c r="AJ12" i="21" s="1"/>
  <c r="AB12" i="21"/>
  <c r="BB12" i="21"/>
  <c r="BF10" i="21"/>
  <c r="Z7" i="16" s="1"/>
  <c r="Y7" i="16"/>
  <c r="BH25" i="21"/>
  <c r="AA22" i="16" s="1"/>
  <c r="AD26" i="21"/>
  <c r="AF26" i="21" s="1"/>
  <c r="AJ26" i="21" s="1"/>
  <c r="BB26" i="21"/>
  <c r="BH11" i="21"/>
  <c r="AA8" i="16" s="1"/>
  <c r="AJ11" i="21"/>
  <c r="BD11" i="21" s="1"/>
  <c r="Y8" i="16" s="1"/>
  <c r="BD25" i="21"/>
  <c r="Y22" i="16" s="1"/>
  <c r="BF24" i="21"/>
  <c r="Z21" i="16" s="1"/>
  <c r="AB26" i="21"/>
  <c r="I26" i="21"/>
  <c r="X23" i="16" s="1"/>
  <c r="BD12" i="21" l="1"/>
  <c r="Y9" i="16" s="1"/>
  <c r="AD13" i="21"/>
  <c r="AF13" i="21" s="1"/>
  <c r="AJ13" i="21" s="1"/>
  <c r="BB13" i="21"/>
  <c r="BH12" i="21"/>
  <c r="AA9" i="16" s="1"/>
  <c r="AB13" i="21"/>
  <c r="I13" i="21"/>
  <c r="X10" i="16" s="1"/>
  <c r="BH13" i="21"/>
  <c r="AA10" i="16" s="1"/>
  <c r="BH26" i="21"/>
  <c r="AA23" i="16" s="1"/>
  <c r="AD27" i="21"/>
  <c r="AF27" i="21" s="1"/>
  <c r="AJ27" i="21" s="1"/>
  <c r="BB27" i="21"/>
  <c r="BF11" i="21"/>
  <c r="Z8" i="16" s="1"/>
  <c r="BF25" i="21"/>
  <c r="Z22" i="16" s="1"/>
  <c r="BF12" i="21"/>
  <c r="Z9" i="16" s="1"/>
  <c r="BD26" i="21"/>
  <c r="Y23" i="16" s="1"/>
  <c r="AB27" i="21"/>
  <c r="I27" i="21"/>
  <c r="X24" i="16" s="1"/>
  <c r="BD13" i="21" l="1"/>
  <c r="Y10" i="16" s="1"/>
  <c r="I14" i="21"/>
  <c r="X11" i="16" s="1"/>
  <c r="BB14" i="21"/>
  <c r="AD14" i="21"/>
  <c r="AF14" i="21" s="1"/>
  <c r="AJ14" i="21" s="1"/>
  <c r="AB14" i="21"/>
  <c r="BD14" i="21" s="1"/>
  <c r="Y11" i="16" s="1"/>
  <c r="BH14" i="21"/>
  <c r="AA11" i="16" s="1"/>
  <c r="BH27" i="21"/>
  <c r="AA24" i="16" s="1"/>
  <c r="AD28" i="21"/>
  <c r="AF28" i="21" s="1"/>
  <c r="BH28" i="21" s="1"/>
  <c r="AA25" i="16" s="1"/>
  <c r="BB28" i="21"/>
  <c r="BF13" i="21"/>
  <c r="Z10" i="16" s="1"/>
  <c r="BF26" i="21"/>
  <c r="D20" i="38"/>
  <c r="BD27" i="21"/>
  <c r="Y24" i="16" s="1"/>
  <c r="AB28" i="21"/>
  <c r="I28" i="21"/>
  <c r="X25" i="16" s="1"/>
  <c r="AJ28" i="21" l="1"/>
  <c r="BB15" i="21"/>
  <c r="AB15" i="21"/>
  <c r="I15" i="21"/>
  <c r="X12" i="16" s="1"/>
  <c r="AD15" i="21"/>
  <c r="AF15" i="21" s="1"/>
  <c r="AJ15" i="21" s="1"/>
  <c r="D34" i="38"/>
  <c r="Z23" i="16"/>
  <c r="BF14" i="21"/>
  <c r="AD29" i="21"/>
  <c r="AF29" i="21" s="1"/>
  <c r="AJ29" i="21" s="1"/>
  <c r="BB29" i="21"/>
  <c r="D21" i="38"/>
  <c r="BH29" i="21"/>
  <c r="AA26" i="16" s="1"/>
  <c r="AB29" i="21"/>
  <c r="I29" i="21"/>
  <c r="X26" i="16" s="1"/>
  <c r="BF27" i="21"/>
  <c r="Z24" i="16" s="1"/>
  <c r="BD28" i="21"/>
  <c r="Y25" i="16" s="1"/>
  <c r="BD15" i="21" l="1"/>
  <c r="Y12" i="16" s="1"/>
  <c r="BH15" i="21"/>
  <c r="AA12" i="16" s="1"/>
  <c r="AD16" i="21"/>
  <c r="AF16" i="21" s="1"/>
  <c r="BH16" i="21" s="1"/>
  <c r="AA13" i="16" s="1"/>
  <c r="BB16" i="21"/>
  <c r="I16" i="21"/>
  <c r="X13" i="16" s="1"/>
  <c r="AB16" i="21"/>
  <c r="D22" i="38"/>
  <c r="Z11" i="16"/>
  <c r="AD30" i="21"/>
  <c r="AF30" i="21" s="1"/>
  <c r="BH30" i="21" s="1"/>
  <c r="AA27" i="16" s="1"/>
  <c r="BB30" i="21"/>
  <c r="BD29" i="21"/>
  <c r="Y26" i="16" s="1"/>
  <c r="BF15" i="21"/>
  <c r="Z12" i="16" s="1"/>
  <c r="I30" i="21"/>
  <c r="X27" i="16" s="1"/>
  <c r="AB30" i="21"/>
  <c r="D35" i="38"/>
  <c r="BF28" i="21"/>
  <c r="Z25" i="16" s="1"/>
  <c r="AJ30" i="21" l="1"/>
  <c r="BB17" i="21"/>
  <c r="AD17" i="21"/>
  <c r="AF17" i="21" s="1"/>
  <c r="AJ17" i="21" s="1"/>
  <c r="AJ16" i="21"/>
  <c r="BD16" i="21" s="1"/>
  <c r="Y13" i="16" s="1"/>
  <c r="I17" i="21"/>
  <c r="X14" i="16" s="1"/>
  <c r="AB17" i="21"/>
  <c r="BD17" i="21" s="1"/>
  <c r="Y14" i="16" s="1"/>
  <c r="BH17" i="21"/>
  <c r="AA14" i="16" s="1"/>
  <c r="AD18" i="21"/>
  <c r="AF18" i="21" s="1"/>
  <c r="AJ18" i="21" s="1"/>
  <c r="BB18" i="21"/>
  <c r="AD31" i="21"/>
  <c r="AF31" i="21" s="1"/>
  <c r="BH31" i="21" s="1"/>
  <c r="AA28" i="16" s="1"/>
  <c r="BB31" i="21"/>
  <c r="BF29" i="21"/>
  <c r="Z26" i="16" s="1"/>
  <c r="BD30" i="21"/>
  <c r="Y27" i="16" s="1"/>
  <c r="D23" i="38"/>
  <c r="BF16" i="21"/>
  <c r="Z13" i="16" s="1"/>
  <c r="I18" i="21"/>
  <c r="X15" i="16" s="1"/>
  <c r="AB18" i="21"/>
  <c r="D36" i="38"/>
  <c r="I31" i="21"/>
  <c r="X28" i="16" s="1"/>
  <c r="AB31" i="21"/>
  <c r="BH18" i="21" l="1"/>
  <c r="AA15" i="16" s="1"/>
  <c r="AJ31" i="21"/>
  <c r="BD31" i="21" s="1"/>
  <c r="Y28" i="16" s="1"/>
  <c r="D37" i="38"/>
  <c r="D24" i="38"/>
  <c r="AD19" i="21"/>
  <c r="AF19" i="21" s="1"/>
  <c r="AJ19" i="21" s="1"/>
  <c r="BB19" i="21"/>
  <c r="AD32" i="21"/>
  <c r="AF32" i="21" s="1"/>
  <c r="AJ32" i="21" s="1"/>
  <c r="BB32" i="21"/>
  <c r="BF17" i="21"/>
  <c r="Z14" i="16" s="1"/>
  <c r="BF30" i="21"/>
  <c r="Z27" i="16" s="1"/>
  <c r="BD18" i="21"/>
  <c r="Y15" i="16" s="1"/>
  <c r="AB32" i="21"/>
  <c r="I32" i="21"/>
  <c r="X29" i="16" s="1"/>
  <c r="AB19" i="21"/>
  <c r="I19" i="21"/>
  <c r="X16" i="16" s="1"/>
  <c r="BH32" i="21" l="1"/>
  <c r="AA29" i="16" s="1"/>
  <c r="BH19" i="21"/>
  <c r="AA16" i="16" s="1"/>
  <c r="D38" i="38"/>
  <c r="D29" i="38"/>
  <c r="AD33" i="21"/>
  <c r="AF33" i="21" s="1"/>
  <c r="BH33" i="21" s="1"/>
  <c r="AA30" i="16" s="1"/>
  <c r="BB33" i="21"/>
  <c r="AD20" i="21"/>
  <c r="AF20" i="21" s="1"/>
  <c r="BH20" i="21" s="1"/>
  <c r="AA17" i="16" s="1"/>
  <c r="BB20" i="21"/>
  <c r="D25" i="38"/>
  <c r="BF31" i="21"/>
  <c r="BF18" i="21"/>
  <c r="Z15" i="16" s="1"/>
  <c r="BD32" i="21"/>
  <c r="Y29" i="16" s="1"/>
  <c r="BD19" i="21"/>
  <c r="Y16" i="16" s="1"/>
  <c r="AB33" i="21"/>
  <c r="I33" i="21"/>
  <c r="X30" i="16" s="1"/>
  <c r="I20" i="21"/>
  <c r="X17" i="16" s="1"/>
  <c r="AB20" i="21"/>
  <c r="AJ20" i="21" l="1"/>
  <c r="BD20" i="21" s="1"/>
  <c r="Y17" i="16" s="1"/>
  <c r="D39" i="38"/>
  <c r="Z28" i="16"/>
  <c r="AJ33" i="21"/>
  <c r="D30" i="38"/>
  <c r="AD34" i="21"/>
  <c r="AF34" i="21" s="1"/>
  <c r="AJ34" i="21" s="1"/>
  <c r="BB34" i="21"/>
  <c r="BH34" i="21"/>
  <c r="AA31" i="16" s="1"/>
  <c r="BF32" i="21"/>
  <c r="Z29" i="16" s="1"/>
  <c r="BF19" i="21"/>
  <c r="Z16" i="16" s="1"/>
  <c r="BD33" i="21"/>
  <c r="Y30" i="16" s="1"/>
  <c r="I34" i="21"/>
  <c r="X31" i="16" s="1"/>
  <c r="AB34" i="21"/>
  <c r="D26" i="38" l="1"/>
  <c r="D31" i="38"/>
  <c r="AD35" i="21"/>
  <c r="AF35" i="21" s="1"/>
  <c r="BH35" i="21" s="1"/>
  <c r="AA32" i="16" s="1"/>
  <c r="BB35" i="21"/>
  <c r="BF20" i="21"/>
  <c r="Z17" i="16" s="1"/>
  <c r="D40" i="38"/>
  <c r="BF33" i="21"/>
  <c r="Z30" i="16" s="1"/>
  <c r="BD34" i="21"/>
  <c r="Y31" i="16" s="1"/>
  <c r="I35" i="21"/>
  <c r="X32" i="16" s="1"/>
  <c r="AB35" i="21"/>
  <c r="AJ35" i="21" l="1"/>
  <c r="D27" i="38"/>
  <c r="AD36" i="21"/>
  <c r="AF36" i="21" s="1"/>
  <c r="AJ36" i="21" s="1"/>
  <c r="BB36" i="21"/>
  <c r="D32" i="38"/>
  <c r="D41" i="38"/>
  <c r="BH36" i="21"/>
  <c r="AA33" i="16" s="1"/>
  <c r="BF34" i="21"/>
  <c r="Z31" i="16" s="1"/>
  <c r="BD35" i="21"/>
  <c r="Y32" i="16" s="1"/>
  <c r="I36" i="21"/>
  <c r="X33" i="16" s="1"/>
  <c r="AB36" i="21"/>
  <c r="D33" i="38" l="1"/>
  <c r="AD37" i="21"/>
  <c r="AF37" i="21" s="1"/>
  <c r="AJ37" i="21" s="1"/>
  <c r="BB37" i="21"/>
  <c r="D28" i="38"/>
  <c r="BF35" i="21"/>
  <c r="Z32" i="16" s="1"/>
  <c r="D42" i="38"/>
  <c r="I37" i="21"/>
  <c r="AB37" i="21"/>
  <c r="BD36" i="21"/>
  <c r="Y33" i="16" s="1"/>
  <c r="AD38" i="21" l="1"/>
  <c r="AF38" i="21" s="1"/>
  <c r="BH38" i="21" s="1"/>
  <c r="BB38" i="21"/>
  <c r="BH37" i="21"/>
  <c r="D43" i="38"/>
  <c r="BD37" i="21"/>
  <c r="BF36" i="21"/>
  <c r="Z33" i="16" s="1"/>
  <c r="I38" i="21"/>
  <c r="AB38" i="21"/>
  <c r="AJ38" i="21" l="1"/>
  <c r="AD39" i="21"/>
  <c r="AF39" i="21" s="1"/>
  <c r="BB39" i="21"/>
  <c r="BD38" i="21"/>
  <c r="AJ39" i="21"/>
  <c r="BH39" i="21"/>
  <c r="BF37" i="21"/>
  <c r="D45" i="38" s="1"/>
  <c r="AB39" i="21"/>
  <c r="I39" i="21"/>
  <c r="D44" i="38" l="1"/>
  <c r="D49" i="38"/>
  <c r="AD40" i="21"/>
  <c r="AF40" i="21" s="1"/>
  <c r="AJ40" i="21" s="1"/>
  <c r="BB40" i="21"/>
  <c r="BF38" i="21"/>
  <c r="BD39" i="21"/>
  <c r="I40" i="21"/>
  <c r="AB40" i="21"/>
  <c r="BH40" i="21" l="1"/>
  <c r="D46" i="38"/>
  <c r="BD40" i="21"/>
  <c r="BF39" i="21"/>
  <c r="BF40" i="21" l="1"/>
  <c r="D48" i="38" s="1"/>
  <c r="D47" i="38"/>
  <c r="E20" i="38" l="1"/>
  <c r="E21" i="38" l="1"/>
  <c r="E22" i="38" l="1"/>
  <c r="E23" i="38" l="1"/>
  <c r="E24" i="38" l="1"/>
  <c r="E25" i="38" l="1"/>
  <c r="E26" i="38" l="1"/>
  <c r="E27" i="38" l="1"/>
  <c r="E28" i="38" l="1"/>
  <c r="E30" i="38" l="1"/>
  <c r="E29" i="38"/>
  <c r="E31" i="38" l="1"/>
  <c r="E32" i="38" l="1"/>
  <c r="E33" i="38" l="1"/>
  <c r="E34" i="38" l="1"/>
  <c r="E35" i="38" l="1"/>
  <c r="E36" i="38" l="1"/>
  <c r="E37" i="38" l="1"/>
  <c r="E38" i="38" l="1"/>
  <c r="E39" i="38" l="1"/>
  <c r="E40" i="38" l="1"/>
  <c r="E41" i="38" l="1"/>
  <c r="E42" i="38" l="1"/>
  <c r="E43" i="38" l="1"/>
  <c r="E44" i="38" l="1"/>
  <c r="E45" i="38" l="1"/>
  <c r="E46" i="38" l="1"/>
  <c r="E47" i="38" l="1"/>
  <c r="E49" i="38" l="1"/>
  <c r="E48" i="38"/>
  <c r="AV5" i="1" l="1"/>
  <c r="D6" i="39"/>
  <c r="AY5" i="1"/>
  <c r="D18" i="39" s="1"/>
  <c r="D7" i="18"/>
  <c r="G7" i="17"/>
  <c r="G30" i="17" l="1"/>
  <c r="G20" i="17"/>
  <c r="G9" i="17"/>
  <c r="G21" i="17"/>
  <c r="G33" i="17"/>
  <c r="G10" i="17"/>
  <c r="G22" i="17"/>
  <c r="G34" i="17"/>
  <c r="G11" i="17"/>
  <c r="G23" i="17"/>
  <c r="G35" i="17"/>
  <c r="G12" i="17"/>
  <c r="G24" i="17"/>
  <c r="G36" i="17"/>
  <c r="G13" i="17"/>
  <c r="G25" i="17"/>
  <c r="G32" i="17"/>
  <c r="G8" i="17"/>
  <c r="G37" i="17"/>
  <c r="G19" i="17"/>
  <c r="G14" i="17"/>
  <c r="G26" i="17"/>
  <c r="G38" i="17"/>
  <c r="G16" i="17"/>
  <c r="G28" i="17"/>
  <c r="G40" i="17"/>
  <c r="G15" i="17"/>
  <c r="G27" i="17"/>
  <c r="G39" i="17"/>
  <c r="G17" i="17"/>
  <c r="G29" i="17"/>
  <c r="G41" i="17"/>
  <c r="G18" i="17"/>
  <c r="G31" i="17"/>
  <c r="K7" i="17"/>
  <c r="AH7" i="17"/>
  <c r="J7" i="17"/>
  <c r="BI7" i="17"/>
  <c r="BG7" i="17"/>
  <c r="BD7" i="18"/>
  <c r="BB7" i="18"/>
  <c r="AC7" i="18"/>
  <c r="F7" i="18"/>
  <c r="D17" i="39"/>
  <c r="AY7" i="18"/>
  <c r="AV7" i="18"/>
  <c r="D41" i="18"/>
  <c r="BF39" i="1"/>
  <c r="BD7" i="17"/>
  <c r="BA7" i="17"/>
  <c r="AY19" i="1"/>
  <c r="BL19" i="1" s="1"/>
  <c r="H18" i="16" s="1"/>
  <c r="AV19" i="1"/>
  <c r="D21" i="18"/>
  <c r="AV39" i="1"/>
  <c r="AY39" i="1"/>
  <c r="BL39" i="1" s="1"/>
  <c r="D19" i="39"/>
  <c r="L4" i="16" l="1"/>
  <c r="E18" i="62"/>
  <c r="S19" i="16"/>
  <c r="J8" i="17"/>
  <c r="K21" i="17"/>
  <c r="L18" i="16" s="1"/>
  <c r="K41" i="17"/>
  <c r="BA21" i="17"/>
  <c r="BD21" i="17"/>
  <c r="BD21" i="18"/>
  <c r="AC21" i="18"/>
  <c r="BB21" i="18"/>
  <c r="F21" i="18"/>
  <c r="BD41" i="18"/>
  <c r="AC41" i="18"/>
  <c r="BB41" i="18"/>
  <c r="F41" i="18"/>
  <c r="BI21" i="17"/>
  <c r="AH21" i="17"/>
  <c r="BG21" i="17"/>
  <c r="J21" i="17"/>
  <c r="BK21" i="17" s="1"/>
  <c r="BI41" i="17"/>
  <c r="AH41" i="17"/>
  <c r="BG41" i="17"/>
  <c r="J41" i="17"/>
  <c r="BI8" i="17"/>
  <c r="BG8" i="17"/>
  <c r="BH39" i="1"/>
  <c r="BH5" i="1"/>
  <c r="BD20" i="1"/>
  <c r="BB20" i="1"/>
  <c r="AC20" i="1"/>
  <c r="BD6" i="1"/>
  <c r="BB6" i="1"/>
  <c r="F20" i="1"/>
  <c r="F6" i="1"/>
  <c r="AV6" i="1"/>
  <c r="AV20" i="1"/>
  <c r="AY6" i="1"/>
  <c r="BL6" i="1" s="1"/>
  <c r="H5" i="16" s="1"/>
  <c r="AY20" i="1"/>
  <c r="D20" i="39"/>
  <c r="D21" i="39" s="1"/>
  <c r="BF19" i="1"/>
  <c r="BH19" i="1" s="1"/>
  <c r="BK7" i="17"/>
  <c r="BF7" i="18"/>
  <c r="BH7" i="18" s="1"/>
  <c r="AY21" i="18"/>
  <c r="AV21" i="18"/>
  <c r="D22" i="18"/>
  <c r="BA41" i="17"/>
  <c r="BD41" i="17"/>
  <c r="AV41" i="18"/>
  <c r="AY41" i="18"/>
  <c r="BD8" i="17"/>
  <c r="BA8" i="17"/>
  <c r="J9" i="17"/>
  <c r="D8" i="18"/>
  <c r="BL20" i="1" l="1"/>
  <c r="H19" i="16" s="1"/>
  <c r="BM21" i="17"/>
  <c r="AH8" i="17"/>
  <c r="BF6" i="1"/>
  <c r="T5" i="16"/>
  <c r="BF20" i="1"/>
  <c r="BH20" i="1" s="1"/>
  <c r="T19" i="16"/>
  <c r="AV21" i="1"/>
  <c r="S20" i="16"/>
  <c r="AY7" i="1"/>
  <c r="S6" i="16"/>
  <c r="K9" i="17"/>
  <c r="L6" i="16" s="1"/>
  <c r="K22" i="17"/>
  <c r="L19" i="16" s="1"/>
  <c r="K8" i="17"/>
  <c r="L5" i="16" s="1"/>
  <c r="BB8" i="1"/>
  <c r="AV7" i="1"/>
  <c r="F8" i="18"/>
  <c r="BB8" i="18"/>
  <c r="BD8" i="18"/>
  <c r="AC8" i="18"/>
  <c r="BB22" i="18"/>
  <c r="AC22" i="18"/>
  <c r="F22" i="18"/>
  <c r="BD22" i="18"/>
  <c r="BI22" i="17"/>
  <c r="J22" i="17"/>
  <c r="AH22" i="17"/>
  <c r="BG22" i="17"/>
  <c r="AH9" i="17"/>
  <c r="BG9" i="17"/>
  <c r="BI9" i="17"/>
  <c r="AY21" i="1"/>
  <c r="BH6" i="1"/>
  <c r="BD21" i="1"/>
  <c r="AC21" i="1"/>
  <c r="BL21" i="1" s="1"/>
  <c r="H20" i="16" s="1"/>
  <c r="BB21" i="1"/>
  <c r="BD7" i="1"/>
  <c r="AC7" i="1"/>
  <c r="BB7" i="1"/>
  <c r="F21" i="1"/>
  <c r="F7" i="1"/>
  <c r="BJ5" i="1"/>
  <c r="BJ7" i="18"/>
  <c r="BJ19" i="1"/>
  <c r="BF41" i="18"/>
  <c r="BH41" i="18" s="1"/>
  <c r="AY8" i="18"/>
  <c r="AV8" i="18"/>
  <c r="D9" i="18"/>
  <c r="BF21" i="18"/>
  <c r="BH21" i="18" s="1"/>
  <c r="BD22" i="17"/>
  <c r="BA22" i="17"/>
  <c r="BA9" i="17"/>
  <c r="BD9" i="17"/>
  <c r="BK41" i="17"/>
  <c r="BM41" i="17" s="1"/>
  <c r="AY22" i="18"/>
  <c r="AV22" i="18"/>
  <c r="D23" i="18"/>
  <c r="BJ39" i="1"/>
  <c r="BK8" i="17"/>
  <c r="AV8" i="1" l="1"/>
  <c r="BL7" i="1"/>
  <c r="H6" i="16" s="1"/>
  <c r="BM8" i="17"/>
  <c r="F8" i="1"/>
  <c r="AY8" i="1"/>
  <c r="BJ20" i="1"/>
  <c r="F22" i="1"/>
  <c r="BF22" i="1" s="1"/>
  <c r="S21" i="16"/>
  <c r="AY22" i="1"/>
  <c r="S8" i="16"/>
  <c r="BF7" i="1"/>
  <c r="BH7" i="1" s="1"/>
  <c r="T6" i="16"/>
  <c r="AC8" i="1"/>
  <c r="S7" i="16"/>
  <c r="BF21" i="1"/>
  <c r="T20" i="16"/>
  <c r="BD8" i="1"/>
  <c r="T7" i="16"/>
  <c r="K23" i="17"/>
  <c r="L20" i="16" s="1"/>
  <c r="K10" i="17"/>
  <c r="L7" i="16" s="1"/>
  <c r="AC23" i="18"/>
  <c r="BD23" i="18"/>
  <c r="F23" i="18"/>
  <c r="BB23" i="18"/>
  <c r="BD9" i="18"/>
  <c r="F9" i="18"/>
  <c r="BB9" i="18"/>
  <c r="AC9" i="18"/>
  <c r="AH10" i="17"/>
  <c r="BG10" i="17"/>
  <c r="BI10" i="17"/>
  <c r="J10" i="17"/>
  <c r="BG23" i="17"/>
  <c r="AH23" i="17"/>
  <c r="BI23" i="17"/>
  <c r="J23" i="17"/>
  <c r="AV22" i="1"/>
  <c r="BH21" i="1"/>
  <c r="BD9" i="1"/>
  <c r="AC9" i="1"/>
  <c r="BB9" i="1"/>
  <c r="BD22" i="1"/>
  <c r="BB22" i="1"/>
  <c r="AC22" i="1"/>
  <c r="BL22" i="1" s="1"/>
  <c r="H21" i="16" s="1"/>
  <c r="F9" i="1"/>
  <c r="BJ6" i="1"/>
  <c r="BF22" i="18"/>
  <c r="BK22" i="17"/>
  <c r="BM22" i="17" s="1"/>
  <c r="BF8" i="18"/>
  <c r="BK9" i="17"/>
  <c r="BM9" i="17" s="1"/>
  <c r="BJ41" i="18"/>
  <c r="BJ21" i="18"/>
  <c r="AV9" i="18"/>
  <c r="AY9" i="18"/>
  <c r="D10" i="18"/>
  <c r="AY9" i="1"/>
  <c r="AV9" i="1"/>
  <c r="AY23" i="18"/>
  <c r="AV23" i="18"/>
  <c r="D24" i="18"/>
  <c r="BD10" i="17"/>
  <c r="BA10" i="17"/>
  <c r="BD23" i="17"/>
  <c r="BA23" i="17"/>
  <c r="BF8" i="1"/>
  <c r="BH8" i="1" s="1"/>
  <c r="BL9" i="1" l="1"/>
  <c r="H8" i="16" s="1"/>
  <c r="BL8" i="1"/>
  <c r="H7" i="16" s="1"/>
  <c r="S23" i="16"/>
  <c r="BJ21" i="1"/>
  <c r="BD23" i="1"/>
  <c r="S22" i="16"/>
  <c r="T8" i="16"/>
  <c r="AV23" i="1"/>
  <c r="F23" i="1"/>
  <c r="BF23" i="1" s="1"/>
  <c r="T21" i="16"/>
  <c r="AY23" i="1"/>
  <c r="AC10" i="1"/>
  <c r="BL10" i="1" s="1"/>
  <c r="H9" i="16" s="1"/>
  <c r="S9" i="16"/>
  <c r="AC23" i="1"/>
  <c r="BB23" i="1"/>
  <c r="BJ7" i="1"/>
  <c r="K24" i="17"/>
  <c r="L21" i="16" s="1"/>
  <c r="K11" i="17"/>
  <c r="L8" i="16" s="1"/>
  <c r="BH8" i="18"/>
  <c r="BJ8" i="18" s="1"/>
  <c r="F10" i="18"/>
  <c r="BB10" i="18"/>
  <c r="AC10" i="18"/>
  <c r="BD10" i="18"/>
  <c r="BH22" i="18"/>
  <c r="BJ22" i="18" s="1"/>
  <c r="F24" i="18"/>
  <c r="BB24" i="18"/>
  <c r="AC24" i="18"/>
  <c r="BD24" i="18"/>
  <c r="BG24" i="17"/>
  <c r="BI24" i="17"/>
  <c r="J24" i="17"/>
  <c r="AH24" i="17"/>
  <c r="AH11" i="17"/>
  <c r="BI11" i="17"/>
  <c r="J11" i="17"/>
  <c r="BG11" i="17"/>
  <c r="BH22" i="1"/>
  <c r="BD10" i="1"/>
  <c r="BB10" i="1"/>
  <c r="BD24" i="1"/>
  <c r="BB24" i="1"/>
  <c r="AC24" i="1"/>
  <c r="BL24" i="1" s="1"/>
  <c r="H23" i="16" s="1"/>
  <c r="F24" i="1"/>
  <c r="F10" i="1"/>
  <c r="BJ8" i="1"/>
  <c r="BK10" i="17"/>
  <c r="BM10" i="17" s="1"/>
  <c r="BF9" i="18"/>
  <c r="BF23" i="18"/>
  <c r="BH23" i="18" s="1"/>
  <c r="BF9" i="1"/>
  <c r="BH9" i="1" s="1"/>
  <c r="BD24" i="17"/>
  <c r="BA24" i="17"/>
  <c r="AV24" i="1"/>
  <c r="AY24" i="1"/>
  <c r="D18" i="16"/>
  <c r="BK23" i="17"/>
  <c r="BM23" i="17" s="1"/>
  <c r="BD11" i="17"/>
  <c r="BA11" i="17"/>
  <c r="AV24" i="18"/>
  <c r="AY24" i="18"/>
  <c r="D25" i="18"/>
  <c r="AY10" i="1"/>
  <c r="AV10" i="1"/>
  <c r="AY10" i="18"/>
  <c r="AV10" i="18"/>
  <c r="D11" i="18"/>
  <c r="BL23" i="1" l="1"/>
  <c r="H22" i="16" s="1"/>
  <c r="T9" i="16"/>
  <c r="AV11" i="1"/>
  <c r="S10" i="16"/>
  <c r="BH23" i="1"/>
  <c r="T23" i="16"/>
  <c r="T22" i="16"/>
  <c r="S24" i="16"/>
  <c r="K12" i="17"/>
  <c r="L9" i="16" s="1"/>
  <c r="K25" i="17"/>
  <c r="L22" i="16" s="1"/>
  <c r="BD25" i="18"/>
  <c r="BB25" i="18"/>
  <c r="AC25" i="18"/>
  <c r="F25" i="18"/>
  <c r="BH9" i="18"/>
  <c r="BJ9" i="18" s="1"/>
  <c r="AC11" i="18"/>
  <c r="BD11" i="18"/>
  <c r="F11" i="18"/>
  <c r="BB11" i="18"/>
  <c r="AH12" i="17"/>
  <c r="BI12" i="17"/>
  <c r="J12" i="17"/>
  <c r="BG12" i="17"/>
  <c r="AH25" i="17"/>
  <c r="BG25" i="17"/>
  <c r="BI25" i="17"/>
  <c r="J25" i="17"/>
  <c r="BJ22" i="1"/>
  <c r="BD25" i="1"/>
  <c r="AC25" i="1"/>
  <c r="BB25" i="1"/>
  <c r="BD11" i="1"/>
  <c r="AC11" i="1"/>
  <c r="BB11" i="1"/>
  <c r="F25" i="1"/>
  <c r="F11" i="1"/>
  <c r="BJ23" i="18"/>
  <c r="BJ9" i="1"/>
  <c r="AY11" i="18"/>
  <c r="AV11" i="18"/>
  <c r="D12" i="18"/>
  <c r="AY25" i="18"/>
  <c r="AV25" i="18"/>
  <c r="D26" i="18"/>
  <c r="BF10" i="18"/>
  <c r="BH10" i="18" s="1"/>
  <c r="AY11" i="1"/>
  <c r="BA12" i="17"/>
  <c r="BD12" i="17"/>
  <c r="BF24" i="1"/>
  <c r="BH24" i="1" s="1"/>
  <c r="E18" i="16"/>
  <c r="BK24" i="17"/>
  <c r="BM24" i="17" s="1"/>
  <c r="E4" i="16"/>
  <c r="D18" i="62" s="1"/>
  <c r="BF10" i="1"/>
  <c r="BF24" i="18"/>
  <c r="BH24" i="18" s="1"/>
  <c r="BK11" i="17"/>
  <c r="BM11" i="17" s="1"/>
  <c r="AY25" i="1"/>
  <c r="AV25" i="1"/>
  <c r="D19" i="16"/>
  <c r="BA25" i="17"/>
  <c r="BD25" i="17"/>
  <c r="BL25" i="1" l="1"/>
  <c r="H24" i="16" s="1"/>
  <c r="BL11" i="1"/>
  <c r="H10" i="16" s="1"/>
  <c r="T10" i="16"/>
  <c r="S25" i="16"/>
  <c r="T24" i="16"/>
  <c r="S11" i="16"/>
  <c r="BJ23" i="1"/>
  <c r="K13" i="17"/>
  <c r="L10" i="16" s="1"/>
  <c r="K26" i="17"/>
  <c r="L23" i="16" s="1"/>
  <c r="BD12" i="18"/>
  <c r="F12" i="18"/>
  <c r="BB12" i="18"/>
  <c r="AC12" i="18"/>
  <c r="BD26" i="18"/>
  <c r="F26" i="18"/>
  <c r="BB26" i="18"/>
  <c r="AC26" i="18"/>
  <c r="AH13" i="17"/>
  <c r="BG13" i="17"/>
  <c r="BI13" i="17"/>
  <c r="J13" i="17"/>
  <c r="BG26" i="17"/>
  <c r="J26" i="17"/>
  <c r="BI26" i="17"/>
  <c r="AH26" i="17"/>
  <c r="F18" i="16"/>
  <c r="BH10" i="1"/>
  <c r="BD12" i="1"/>
  <c r="AC12" i="1"/>
  <c r="BB12" i="1"/>
  <c r="BD26" i="1"/>
  <c r="BB26" i="1"/>
  <c r="AC26" i="1"/>
  <c r="F26" i="1"/>
  <c r="F12" i="1"/>
  <c r="BJ24" i="18"/>
  <c r="BJ10" i="18"/>
  <c r="AY12" i="1"/>
  <c r="D6" i="16"/>
  <c r="AV12" i="1"/>
  <c r="BF25" i="18"/>
  <c r="BF25" i="1"/>
  <c r="E19" i="16"/>
  <c r="BF11" i="18"/>
  <c r="BK25" i="17"/>
  <c r="BM25" i="17" s="1"/>
  <c r="BK12" i="17"/>
  <c r="BM12" i="17" s="1"/>
  <c r="BF11" i="1"/>
  <c r="BH11" i="1" s="1"/>
  <c r="E5" i="16"/>
  <c r="BD13" i="17"/>
  <c r="BA13" i="17"/>
  <c r="AY26" i="18"/>
  <c r="AV26" i="18"/>
  <c r="D27" i="18"/>
  <c r="AY12" i="18"/>
  <c r="AV12" i="18"/>
  <c r="D13" i="18"/>
  <c r="BD26" i="17"/>
  <c r="BA26" i="17"/>
  <c r="AY26" i="1"/>
  <c r="AV26" i="1"/>
  <c r="D20" i="16"/>
  <c r="BJ24" i="1"/>
  <c r="G18" i="16" s="1"/>
  <c r="BL26" i="1" l="1"/>
  <c r="H25" i="16" s="1"/>
  <c r="BL12" i="1"/>
  <c r="H11" i="16" s="1"/>
  <c r="T25" i="16"/>
  <c r="S12" i="16"/>
  <c r="S26" i="16"/>
  <c r="F5" i="16"/>
  <c r="T11" i="16"/>
  <c r="F4" i="16"/>
  <c r="D19" i="62" s="1"/>
  <c r="K14" i="17"/>
  <c r="L11" i="16" s="1"/>
  <c r="K27" i="17"/>
  <c r="L24" i="16" s="1"/>
  <c r="BH25" i="18"/>
  <c r="AC27" i="18"/>
  <c r="BD27" i="18"/>
  <c r="F27" i="18"/>
  <c r="BB27" i="18"/>
  <c r="AC13" i="18"/>
  <c r="BD13" i="18"/>
  <c r="F13" i="18"/>
  <c r="BB13" i="18"/>
  <c r="BH11" i="18"/>
  <c r="BJ11" i="18" s="1"/>
  <c r="BI14" i="17"/>
  <c r="J14" i="17"/>
  <c r="AH14" i="17"/>
  <c r="BG14" i="17"/>
  <c r="AH27" i="17"/>
  <c r="BG27" i="17"/>
  <c r="BI27" i="17"/>
  <c r="J27" i="17"/>
  <c r="BJ10" i="1"/>
  <c r="G4" i="16" s="1"/>
  <c r="D20" i="62" s="1"/>
  <c r="BH25" i="1"/>
  <c r="BD27" i="1"/>
  <c r="AC27" i="1"/>
  <c r="BL27" i="1" s="1"/>
  <c r="H26" i="16" s="1"/>
  <c r="BB27" i="1"/>
  <c r="BD13" i="1"/>
  <c r="AC13" i="1"/>
  <c r="BB13" i="1"/>
  <c r="F13" i="1"/>
  <c r="F27" i="1"/>
  <c r="AV27" i="1"/>
  <c r="D21" i="16"/>
  <c r="AY27" i="1"/>
  <c r="BF26" i="18"/>
  <c r="BA14" i="17"/>
  <c r="BD14" i="17"/>
  <c r="BJ11" i="1"/>
  <c r="G5" i="16" s="1"/>
  <c r="BK26" i="17"/>
  <c r="BM26" i="17" s="1"/>
  <c r="BF12" i="18"/>
  <c r="BH12" i="18" s="1"/>
  <c r="BK13" i="17"/>
  <c r="BM13" i="17" s="1"/>
  <c r="AV13" i="1"/>
  <c r="AY13" i="1"/>
  <c r="D7" i="16"/>
  <c r="BF26" i="1"/>
  <c r="BH26" i="1" s="1"/>
  <c r="E20" i="16"/>
  <c r="AY13" i="18"/>
  <c r="AV13" i="18"/>
  <c r="D14" i="18"/>
  <c r="AV27" i="18"/>
  <c r="AY27" i="18"/>
  <c r="D28" i="18"/>
  <c r="BJ25" i="18"/>
  <c r="E6" i="16"/>
  <c r="BF12" i="1"/>
  <c r="BA27" i="17"/>
  <c r="BD27" i="17"/>
  <c r="C34" i="38"/>
  <c r="BL13" i="1" l="1"/>
  <c r="H12" i="16" s="1"/>
  <c r="D13" i="16"/>
  <c r="S13" i="16"/>
  <c r="T26" i="16"/>
  <c r="F19" i="16"/>
  <c r="S27" i="16"/>
  <c r="T12" i="16"/>
  <c r="K28" i="17"/>
  <c r="L25" i="16" s="1"/>
  <c r="K15" i="17"/>
  <c r="L12" i="16" s="1"/>
  <c r="BJ25" i="1"/>
  <c r="G19" i="16" s="1"/>
  <c r="BB14" i="18"/>
  <c r="AC14" i="18"/>
  <c r="BD14" i="18"/>
  <c r="F14" i="18"/>
  <c r="BD28" i="18"/>
  <c r="F28" i="18"/>
  <c r="BB28" i="18"/>
  <c r="AC28" i="18"/>
  <c r="BH26" i="18"/>
  <c r="AH28" i="17"/>
  <c r="BG28" i="17"/>
  <c r="BI28" i="17"/>
  <c r="J28" i="17"/>
  <c r="BG15" i="17"/>
  <c r="BI15" i="17"/>
  <c r="AH15" i="17"/>
  <c r="J15" i="17"/>
  <c r="C20" i="38"/>
  <c r="BH12" i="1"/>
  <c r="BD14" i="1"/>
  <c r="BB14" i="1"/>
  <c r="AC14" i="1"/>
  <c r="BD28" i="1"/>
  <c r="BB28" i="1"/>
  <c r="AC28" i="1"/>
  <c r="BL28" i="1" s="1"/>
  <c r="H27" i="16" s="1"/>
  <c r="F14" i="1"/>
  <c r="F28" i="1"/>
  <c r="F20" i="16"/>
  <c r="BJ26" i="1"/>
  <c r="G20" i="16" s="1"/>
  <c r="BJ12" i="18"/>
  <c r="P4" i="16" s="1"/>
  <c r="BF13" i="18"/>
  <c r="BA15" i="17"/>
  <c r="BD15" i="17"/>
  <c r="BJ26" i="18"/>
  <c r="P18" i="16" s="1"/>
  <c r="AV28" i="1"/>
  <c r="AY28" i="1"/>
  <c r="D22" i="16"/>
  <c r="BK27" i="17"/>
  <c r="BM27" i="17" s="1"/>
  <c r="BF27" i="18"/>
  <c r="BH27" i="18" s="1"/>
  <c r="C21" i="38"/>
  <c r="BK14" i="17"/>
  <c r="BM14" i="17" s="1"/>
  <c r="BD28" i="17"/>
  <c r="BA28" i="17"/>
  <c r="AV14" i="1"/>
  <c r="AY14" i="1"/>
  <c r="D8" i="16"/>
  <c r="BF27" i="1"/>
  <c r="BH27" i="1" s="1"/>
  <c r="E21" i="16"/>
  <c r="AY28" i="18"/>
  <c r="AV28" i="18"/>
  <c r="D29" i="18"/>
  <c r="AY14" i="18"/>
  <c r="AV14" i="18"/>
  <c r="D15" i="18"/>
  <c r="BF13" i="1"/>
  <c r="BH13" i="1" s="1"/>
  <c r="E7" i="16"/>
  <c r="BL14" i="1" l="1"/>
  <c r="H13" i="16" s="1"/>
  <c r="D14" i="16"/>
  <c r="S14" i="16"/>
  <c r="E13" i="16"/>
  <c r="T13" i="16"/>
  <c r="F6" i="16"/>
  <c r="S28" i="16"/>
  <c r="T27" i="16"/>
  <c r="C35" i="38"/>
  <c r="K29" i="17"/>
  <c r="L26" i="16" s="1"/>
  <c r="K16" i="17"/>
  <c r="L13" i="16" s="1"/>
  <c r="BB15" i="18"/>
  <c r="AC15" i="18"/>
  <c r="BD15" i="18"/>
  <c r="F15" i="18"/>
  <c r="BH13" i="18"/>
  <c r="BJ13" i="18" s="1"/>
  <c r="P5" i="16" s="1"/>
  <c r="AC29" i="18"/>
  <c r="F29" i="18"/>
  <c r="BD29" i="18"/>
  <c r="BB29" i="18"/>
  <c r="AH29" i="17"/>
  <c r="BG29" i="17"/>
  <c r="BI29" i="17"/>
  <c r="J29" i="17"/>
  <c r="BI16" i="17"/>
  <c r="J16" i="17"/>
  <c r="BG16" i="17"/>
  <c r="AH16" i="17"/>
  <c r="BJ12" i="1"/>
  <c r="G6" i="16" s="1"/>
  <c r="BD15" i="1"/>
  <c r="AC15" i="1"/>
  <c r="BB15" i="1"/>
  <c r="BD29" i="1"/>
  <c r="AC29" i="1"/>
  <c r="BB29" i="1"/>
  <c r="F29" i="1"/>
  <c r="F15" i="1"/>
  <c r="F7" i="16"/>
  <c r="BJ13" i="1"/>
  <c r="G7" i="16" s="1"/>
  <c r="BJ27" i="18"/>
  <c r="P19" i="16" s="1"/>
  <c r="F21" i="16"/>
  <c r="BJ27" i="1"/>
  <c r="G21" i="16" s="1"/>
  <c r="BF14" i="18"/>
  <c r="BF28" i="18"/>
  <c r="AY15" i="18"/>
  <c r="AV15" i="18"/>
  <c r="D16" i="18"/>
  <c r="AV29" i="18"/>
  <c r="AY29" i="18"/>
  <c r="D30" i="18"/>
  <c r="BK28" i="17"/>
  <c r="BM28" i="17" s="1"/>
  <c r="AY29" i="1"/>
  <c r="AV29" i="1"/>
  <c r="D23" i="16"/>
  <c r="AY15" i="1"/>
  <c r="AV15" i="1"/>
  <c r="D9" i="16"/>
  <c r="E22" i="16"/>
  <c r="BF28" i="1"/>
  <c r="BA16" i="17"/>
  <c r="BD16" i="17"/>
  <c r="C36" i="38"/>
  <c r="BF14" i="1"/>
  <c r="BH14" i="1" s="1"/>
  <c r="E8" i="16"/>
  <c r="BD29" i="17"/>
  <c r="BA29" i="17"/>
  <c r="BK15" i="17"/>
  <c r="BM15" i="17" s="1"/>
  <c r="BL29" i="1" l="1"/>
  <c r="H28" i="16" s="1"/>
  <c r="BL15" i="1"/>
  <c r="H14" i="16" s="1"/>
  <c r="F13" i="16"/>
  <c r="S29" i="16"/>
  <c r="D15" i="16"/>
  <c r="S15" i="16"/>
  <c r="E14" i="16"/>
  <c r="T14" i="16"/>
  <c r="T28" i="16"/>
  <c r="K17" i="17"/>
  <c r="L14" i="16" s="1"/>
  <c r="K30" i="17"/>
  <c r="L27" i="16" s="1"/>
  <c r="C22" i="38"/>
  <c r="BH14" i="18"/>
  <c r="BJ14" i="18" s="1"/>
  <c r="P6" i="16" s="1"/>
  <c r="F16" i="18"/>
  <c r="BB16" i="18"/>
  <c r="AC16" i="18"/>
  <c r="BD16" i="18"/>
  <c r="BB30" i="18"/>
  <c r="AC30" i="18"/>
  <c r="BD30" i="18"/>
  <c r="F30" i="18"/>
  <c r="BH28" i="18"/>
  <c r="BJ28" i="18" s="1"/>
  <c r="P20" i="16" s="1"/>
  <c r="BI30" i="17"/>
  <c r="J30" i="17"/>
  <c r="AH30" i="17"/>
  <c r="BG30" i="17"/>
  <c r="AH17" i="17"/>
  <c r="BG17" i="17"/>
  <c r="BI17" i="17"/>
  <c r="J17" i="17"/>
  <c r="BH28" i="1"/>
  <c r="BD30" i="1"/>
  <c r="BB30" i="1"/>
  <c r="AC30" i="1"/>
  <c r="BL30" i="1" s="1"/>
  <c r="H29" i="16" s="1"/>
  <c r="BD16" i="1"/>
  <c r="BB16" i="1"/>
  <c r="AC16" i="1"/>
  <c r="F16" i="1"/>
  <c r="F30" i="1"/>
  <c r="F8" i="16"/>
  <c r="BJ14" i="1"/>
  <c r="BF15" i="1"/>
  <c r="E9" i="16"/>
  <c r="BF15" i="18"/>
  <c r="BH15" i="18" s="1"/>
  <c r="BK29" i="17"/>
  <c r="BM29" i="17" s="1"/>
  <c r="BK16" i="17"/>
  <c r="BM16" i="17" s="1"/>
  <c r="BF29" i="1"/>
  <c r="BH29" i="1" s="1"/>
  <c r="E23" i="16"/>
  <c r="AY30" i="1"/>
  <c r="D24" i="16"/>
  <c r="AV30" i="1"/>
  <c r="AV30" i="18"/>
  <c r="AY30" i="18"/>
  <c r="D31" i="18"/>
  <c r="AV16" i="18"/>
  <c r="AY16" i="18"/>
  <c r="D17" i="18"/>
  <c r="C37" i="38"/>
  <c r="C23" i="38"/>
  <c r="BA17" i="17"/>
  <c r="BD17" i="17"/>
  <c r="BA30" i="17"/>
  <c r="BD30" i="17"/>
  <c r="AY16" i="1"/>
  <c r="AV16" i="1"/>
  <c r="D10" i="16"/>
  <c r="BF29" i="18"/>
  <c r="BH29" i="18" s="1"/>
  <c r="BL16" i="1" l="1"/>
  <c r="H15" i="16" s="1"/>
  <c r="T29" i="16"/>
  <c r="F22" i="16"/>
  <c r="E15" i="16"/>
  <c r="T15" i="16"/>
  <c r="S16" i="16"/>
  <c r="S30" i="16"/>
  <c r="K31" i="17"/>
  <c r="L28" i="16" s="1"/>
  <c r="K18" i="17"/>
  <c r="L15" i="16" s="1"/>
  <c r="D16" i="16"/>
  <c r="AY17" i="1"/>
  <c r="BD17" i="18"/>
  <c r="BB17" i="18"/>
  <c r="AC17" i="18"/>
  <c r="F17" i="18"/>
  <c r="BB31" i="18"/>
  <c r="AC31" i="18"/>
  <c r="BD31" i="18"/>
  <c r="F31" i="18"/>
  <c r="BG31" i="17"/>
  <c r="J31" i="17"/>
  <c r="AH31" i="17"/>
  <c r="BI31" i="17"/>
  <c r="BG18" i="17"/>
  <c r="J18" i="17"/>
  <c r="BI18" i="17"/>
  <c r="AH18" i="17"/>
  <c r="BJ28" i="1"/>
  <c r="G22" i="16" s="1"/>
  <c r="G8" i="16"/>
  <c r="G13" i="16"/>
  <c r="BH15" i="1"/>
  <c r="BD17" i="1"/>
  <c r="AC17" i="1"/>
  <c r="BB17" i="1"/>
  <c r="BD31" i="1"/>
  <c r="AC31" i="1"/>
  <c r="BL31" i="1" s="1"/>
  <c r="H30" i="16" s="1"/>
  <c r="BB31" i="1"/>
  <c r="F17" i="1"/>
  <c r="F31" i="1"/>
  <c r="F23" i="16"/>
  <c r="BJ29" i="1"/>
  <c r="G23" i="16" s="1"/>
  <c r="BJ29" i="18"/>
  <c r="P21" i="16" s="1"/>
  <c r="BJ15" i="18"/>
  <c r="P7" i="16" s="1"/>
  <c r="E10" i="16"/>
  <c r="BF16" i="1"/>
  <c r="BH16" i="1" s="1"/>
  <c r="BD31" i="17"/>
  <c r="BA31" i="17"/>
  <c r="BK17" i="17"/>
  <c r="BM17" i="17" s="1"/>
  <c r="BF30" i="18"/>
  <c r="AV17" i="1"/>
  <c r="D11" i="16"/>
  <c r="BK30" i="17"/>
  <c r="BM30" i="17" s="1"/>
  <c r="BD18" i="17"/>
  <c r="BA18" i="17"/>
  <c r="BF16" i="18"/>
  <c r="AY17" i="18"/>
  <c r="AV17" i="18"/>
  <c r="D18" i="18"/>
  <c r="AY31" i="1"/>
  <c r="D25" i="16"/>
  <c r="AV31" i="1"/>
  <c r="AY31" i="18"/>
  <c r="AV31" i="18"/>
  <c r="D32" i="18"/>
  <c r="BF30" i="1"/>
  <c r="BH30" i="1" s="1"/>
  <c r="E24" i="16"/>
  <c r="BL17" i="1" l="1"/>
  <c r="H16" i="16" s="1"/>
  <c r="D17" i="16"/>
  <c r="S17" i="16"/>
  <c r="E16" i="16"/>
  <c r="T16" i="16"/>
  <c r="F15" i="16"/>
  <c r="S31" i="16"/>
  <c r="T30" i="16"/>
  <c r="C38" i="38"/>
  <c r="K32" i="17"/>
  <c r="L29" i="16" s="1"/>
  <c r="K19" i="17"/>
  <c r="L16" i="16" s="1"/>
  <c r="C24" i="38"/>
  <c r="BH16" i="18"/>
  <c r="BH30" i="18"/>
  <c r="BJ30" i="18" s="1"/>
  <c r="P22" i="16" s="1"/>
  <c r="F32" i="18"/>
  <c r="BB32" i="18"/>
  <c r="AC32" i="18"/>
  <c r="BD32" i="18"/>
  <c r="F18" i="18"/>
  <c r="BB18" i="18"/>
  <c r="BD18" i="18"/>
  <c r="AC18" i="18"/>
  <c r="AH19" i="17"/>
  <c r="BI19" i="17"/>
  <c r="BG19" i="17"/>
  <c r="J19" i="17"/>
  <c r="BI32" i="17"/>
  <c r="J32" i="17"/>
  <c r="BG32" i="17"/>
  <c r="AH32" i="17"/>
  <c r="C29" i="38"/>
  <c r="BJ15" i="1"/>
  <c r="F14" i="16"/>
  <c r="F9" i="16"/>
  <c r="F10" i="16"/>
  <c r="BD32" i="1"/>
  <c r="BB32" i="1"/>
  <c r="AC32" i="1"/>
  <c r="BD18" i="1"/>
  <c r="AC18" i="1"/>
  <c r="BB18" i="1"/>
  <c r="F18" i="1"/>
  <c r="F32" i="1"/>
  <c r="F24" i="16"/>
  <c r="BJ30" i="1"/>
  <c r="G24" i="16" s="1"/>
  <c r="BF31" i="18"/>
  <c r="BH31" i="18" s="1"/>
  <c r="BF31" i="1"/>
  <c r="BH31" i="1" s="1"/>
  <c r="E25" i="16"/>
  <c r="BA32" i="17"/>
  <c r="BD32" i="17"/>
  <c r="C39" i="38"/>
  <c r="AV32" i="18"/>
  <c r="AY32" i="18"/>
  <c r="D33" i="18"/>
  <c r="BF17" i="18"/>
  <c r="BJ16" i="18"/>
  <c r="BA19" i="17"/>
  <c r="BD19" i="17"/>
  <c r="BF17" i="1"/>
  <c r="BH17" i="1" s="1"/>
  <c r="E11" i="16"/>
  <c r="AY18" i="1"/>
  <c r="AV18" i="1"/>
  <c r="D12" i="16"/>
  <c r="AV18" i="18"/>
  <c r="AY18" i="18"/>
  <c r="D19" i="18"/>
  <c r="BK31" i="17"/>
  <c r="BM31" i="17" s="1"/>
  <c r="AV32" i="1"/>
  <c r="AY32" i="1"/>
  <c r="D26" i="16"/>
  <c r="BK18" i="17"/>
  <c r="BM18" i="17" s="1"/>
  <c r="BJ16" i="1"/>
  <c r="BL32" i="1" l="1"/>
  <c r="H31" i="16" s="1"/>
  <c r="BL18" i="1"/>
  <c r="H17" i="16" s="1"/>
  <c r="S32" i="16"/>
  <c r="T31" i="16"/>
  <c r="E17" i="16"/>
  <c r="T17" i="16"/>
  <c r="K20" i="17"/>
  <c r="L17" i="16" s="1"/>
  <c r="K33" i="17"/>
  <c r="L30" i="16" s="1"/>
  <c r="F16" i="16"/>
  <c r="BJ17" i="1"/>
  <c r="AC19" i="18"/>
  <c r="BD19" i="18"/>
  <c r="F19" i="18"/>
  <c r="BB19" i="18"/>
  <c r="BH17" i="18"/>
  <c r="P8" i="16"/>
  <c r="P13" i="16"/>
  <c r="BD33" i="18"/>
  <c r="BB33" i="18"/>
  <c r="AC33" i="18"/>
  <c r="F33" i="18"/>
  <c r="AH33" i="17"/>
  <c r="BG33" i="17"/>
  <c r="BI33" i="17"/>
  <c r="J33" i="17"/>
  <c r="BG20" i="17"/>
  <c r="AH20" i="17"/>
  <c r="BI20" i="17"/>
  <c r="J20" i="17"/>
  <c r="G9" i="16"/>
  <c r="G14" i="16"/>
  <c r="G10" i="16"/>
  <c r="G15" i="16"/>
  <c r="BD33" i="1"/>
  <c r="AC33" i="1"/>
  <c r="BL33" i="1" s="1"/>
  <c r="H32" i="16" s="1"/>
  <c r="BB33" i="1"/>
  <c r="F33" i="1"/>
  <c r="F25" i="16"/>
  <c r="BJ31" i="1"/>
  <c r="G25" i="16" s="1"/>
  <c r="C41" i="38" s="1"/>
  <c r="BJ31" i="18"/>
  <c r="P23" i="16" s="1"/>
  <c r="F11" i="16"/>
  <c r="BD20" i="17"/>
  <c r="BA20" i="17"/>
  <c r="BF32" i="1"/>
  <c r="E26" i="16"/>
  <c r="BF18" i="18"/>
  <c r="BK19" i="17"/>
  <c r="BM19" i="17" s="1"/>
  <c r="BF32" i="18"/>
  <c r="BH32" i="18" s="1"/>
  <c r="C40" i="38"/>
  <c r="BA33" i="17"/>
  <c r="BD33" i="17"/>
  <c r="AY33" i="1"/>
  <c r="D27" i="16"/>
  <c r="AV33" i="1"/>
  <c r="BF18" i="1"/>
  <c r="BH18" i="1" s="1"/>
  <c r="E12" i="16"/>
  <c r="AY33" i="18"/>
  <c r="AV33" i="18"/>
  <c r="D34" i="18"/>
  <c r="BK32" i="17"/>
  <c r="BM32" i="17" s="1"/>
  <c r="D20" i="18"/>
  <c r="AY19" i="18"/>
  <c r="AV19" i="18"/>
  <c r="T32" i="16" l="1"/>
  <c r="BJ17" i="18"/>
  <c r="F17" i="16"/>
  <c r="D33" i="16"/>
  <c r="S33" i="16"/>
  <c r="K34" i="17"/>
  <c r="L31" i="16" s="1"/>
  <c r="BH18" i="18"/>
  <c r="BJ18" i="18" s="1"/>
  <c r="C26" i="38"/>
  <c r="P9" i="16"/>
  <c r="P14" i="16"/>
  <c r="F34" i="18"/>
  <c r="BB34" i="18"/>
  <c r="AC34" i="18"/>
  <c r="BD34" i="18"/>
  <c r="AC20" i="18"/>
  <c r="BD20" i="18"/>
  <c r="F20" i="18"/>
  <c r="BB20" i="18"/>
  <c r="BG34" i="17"/>
  <c r="J34" i="17"/>
  <c r="BI34" i="17"/>
  <c r="AH34" i="17"/>
  <c r="C30" i="38"/>
  <c r="C25" i="38"/>
  <c r="G11" i="16"/>
  <c r="C27" i="38" s="1"/>
  <c r="G16" i="16"/>
  <c r="C31" i="38"/>
  <c r="F26" i="16"/>
  <c r="BH32" i="1"/>
  <c r="BD34" i="1"/>
  <c r="BB34" i="1"/>
  <c r="AC34" i="1"/>
  <c r="F34" i="1"/>
  <c r="BJ32" i="18"/>
  <c r="P24" i="16" s="1"/>
  <c r="F12" i="16"/>
  <c r="BJ18" i="1"/>
  <c r="BF19" i="18"/>
  <c r="AY20" i="18"/>
  <c r="AV20" i="18"/>
  <c r="AV34" i="18"/>
  <c r="AY34" i="18"/>
  <c r="D35" i="18"/>
  <c r="E27" i="16"/>
  <c r="BF33" i="1"/>
  <c r="BF33" i="18"/>
  <c r="BH33" i="18" s="1"/>
  <c r="AV34" i="1"/>
  <c r="AY34" i="1"/>
  <c r="D28" i="16"/>
  <c r="BD34" i="17"/>
  <c r="BA34" i="17"/>
  <c r="BK33" i="17"/>
  <c r="BM33" i="17" s="1"/>
  <c r="BK20" i="17"/>
  <c r="BM20" i="17" s="1"/>
  <c r="BL34" i="1" l="1"/>
  <c r="H33" i="16" s="1"/>
  <c r="BJ32" i="1"/>
  <c r="G26" i="16" s="1"/>
  <c r="C42" i="38" s="1"/>
  <c r="E33" i="16"/>
  <c r="T33" i="16"/>
  <c r="K35" i="17"/>
  <c r="L32" i="16" s="1"/>
  <c r="BH19" i="18"/>
  <c r="P10" i="16"/>
  <c r="P15" i="16"/>
  <c r="AC35" i="18"/>
  <c r="BB35" i="18"/>
  <c r="BD35" i="18"/>
  <c r="F35" i="18"/>
  <c r="J35" i="17"/>
  <c r="AH35" i="17"/>
  <c r="BI35" i="17"/>
  <c r="BG35" i="17"/>
  <c r="G12" i="16"/>
  <c r="C28" i="38" s="1"/>
  <c r="G17" i="16"/>
  <c r="C32" i="38"/>
  <c r="BH33" i="1"/>
  <c r="BD35" i="1"/>
  <c r="AC35" i="1"/>
  <c r="BB35" i="1"/>
  <c r="F35" i="1"/>
  <c r="BJ33" i="18"/>
  <c r="P25" i="16" s="1"/>
  <c r="BA35" i="17"/>
  <c r="BD35" i="17"/>
  <c r="D29" i="16"/>
  <c r="AV35" i="1"/>
  <c r="AY35" i="1"/>
  <c r="BJ19" i="18"/>
  <c r="E28" i="16"/>
  <c r="BF34" i="1"/>
  <c r="AY35" i="18"/>
  <c r="AV35" i="18"/>
  <c r="D36" i="18"/>
  <c r="BK34" i="17"/>
  <c r="BM34" i="17" s="1"/>
  <c r="BF34" i="18"/>
  <c r="BH34" i="18" s="1"/>
  <c r="BF20" i="18"/>
  <c r="BH20" i="18" s="1"/>
  <c r="BL35" i="1" l="1"/>
  <c r="F27" i="16"/>
  <c r="K36" i="17"/>
  <c r="L33" i="16" s="1"/>
  <c r="P11" i="16"/>
  <c r="P16" i="16"/>
  <c r="BD36" i="18"/>
  <c r="F36" i="18"/>
  <c r="BB36" i="18"/>
  <c r="AC36" i="18"/>
  <c r="AH36" i="17"/>
  <c r="BG36" i="17"/>
  <c r="BI36" i="17"/>
  <c r="J36" i="17"/>
  <c r="C33" i="38"/>
  <c r="BJ33" i="1"/>
  <c r="G27" i="16" s="1"/>
  <c r="C43" i="38" s="1"/>
  <c r="BH34" i="1"/>
  <c r="BD36" i="1"/>
  <c r="BB36" i="1"/>
  <c r="AC36" i="1"/>
  <c r="BL36" i="1" s="1"/>
  <c r="F36" i="1"/>
  <c r="BJ34" i="18"/>
  <c r="P26" i="16" s="1"/>
  <c r="BJ20" i="18"/>
  <c r="AY36" i="18"/>
  <c r="AV36" i="18"/>
  <c r="D37" i="18"/>
  <c r="BF35" i="1"/>
  <c r="BH35" i="1" s="1"/>
  <c r="E29" i="16"/>
  <c r="BK35" i="17"/>
  <c r="BM35" i="17" s="1"/>
  <c r="AY36" i="1"/>
  <c r="D30" i="16"/>
  <c r="AV36" i="1"/>
  <c r="BA36" i="17"/>
  <c r="BD36" i="17"/>
  <c r="BF35" i="18"/>
  <c r="BJ34" i="1"/>
  <c r="K37" i="17" l="1"/>
  <c r="P12" i="16"/>
  <c r="P17" i="16"/>
  <c r="BH35" i="18"/>
  <c r="BJ35" i="18" s="1"/>
  <c r="P27" i="16" s="1"/>
  <c r="AC37" i="18"/>
  <c r="F37" i="18"/>
  <c r="BD37" i="18"/>
  <c r="BB37" i="18"/>
  <c r="AH37" i="17"/>
  <c r="BG37" i="17"/>
  <c r="BI37" i="17"/>
  <c r="J37" i="17"/>
  <c r="F28" i="16"/>
  <c r="F33" i="16"/>
  <c r="G28" i="16"/>
  <c r="G33" i="16"/>
  <c r="F29" i="16"/>
  <c r="BD37" i="1"/>
  <c r="AC37" i="1"/>
  <c r="BB37" i="1"/>
  <c r="F37" i="1"/>
  <c r="BJ35" i="1"/>
  <c r="G29" i="16" s="1"/>
  <c r="C45" i="38" s="1"/>
  <c r="AV37" i="1"/>
  <c r="AY37" i="1"/>
  <c r="D31" i="16"/>
  <c r="BF36" i="1"/>
  <c r="E30" i="16"/>
  <c r="BK36" i="17"/>
  <c r="BM36" i="17" s="1"/>
  <c r="BF36" i="18"/>
  <c r="BH36" i="18" s="1"/>
  <c r="BD37" i="17"/>
  <c r="BA37" i="17"/>
  <c r="AY37" i="18"/>
  <c r="AV37" i="18"/>
  <c r="D38" i="18"/>
  <c r="BL37" i="1" l="1"/>
  <c r="C44" i="38"/>
  <c r="K38" i="17"/>
  <c r="BB38" i="18"/>
  <c r="AC38" i="18"/>
  <c r="BD38" i="18"/>
  <c r="F38" i="18"/>
  <c r="BI38" i="17"/>
  <c r="J38" i="17"/>
  <c r="BG38" i="17"/>
  <c r="AH38" i="17"/>
  <c r="C49" i="38"/>
  <c r="BH36" i="1"/>
  <c r="F30" i="16" s="1"/>
  <c r="BD38" i="1"/>
  <c r="BB38" i="1"/>
  <c r="AC38" i="1"/>
  <c r="BL38" i="1" s="1"/>
  <c r="F38" i="1"/>
  <c r="BJ36" i="18"/>
  <c r="BF37" i="18"/>
  <c r="BH37" i="18" s="1"/>
  <c r="BD38" i="17"/>
  <c r="BA38" i="17"/>
  <c r="BK37" i="17"/>
  <c r="BM37" i="17" s="1"/>
  <c r="AV38" i="1"/>
  <c r="D32" i="16"/>
  <c r="AY38" i="1"/>
  <c r="BF37" i="1"/>
  <c r="BH37" i="1" s="1"/>
  <c r="E31" i="16"/>
  <c r="AY38" i="18"/>
  <c r="AV38" i="18"/>
  <c r="D39" i="18"/>
  <c r="K39" i="17" l="1"/>
  <c r="AC39" i="18"/>
  <c r="BD39" i="18"/>
  <c r="BB39" i="18"/>
  <c r="F39" i="18"/>
  <c r="P28" i="16"/>
  <c r="P33" i="16"/>
  <c r="BG39" i="17"/>
  <c r="AH39" i="17"/>
  <c r="BI39" i="17"/>
  <c r="J39" i="17"/>
  <c r="BJ36" i="1"/>
  <c r="G30" i="16" s="1"/>
  <c r="BJ37" i="18"/>
  <c r="P29" i="16" s="1"/>
  <c r="F31" i="16"/>
  <c r="BJ37" i="1"/>
  <c r="G31" i="16" s="1"/>
  <c r="BK38" i="17"/>
  <c r="BM38" i="17" s="1"/>
  <c r="AV39" i="18"/>
  <c r="AY39" i="18"/>
  <c r="D40" i="18"/>
  <c r="BF38" i="18"/>
  <c r="BH38" i="18" s="1"/>
  <c r="BF38" i="1"/>
  <c r="BH38" i="1" s="1"/>
  <c r="E32" i="16"/>
  <c r="BD39" i="17"/>
  <c r="BA39" i="17"/>
  <c r="C46" i="38" l="1"/>
  <c r="K40" i="17"/>
  <c r="F40" i="18"/>
  <c r="BB40" i="18"/>
  <c r="AC40" i="18"/>
  <c r="BD40" i="18"/>
  <c r="BI40" i="17"/>
  <c r="J40" i="17"/>
  <c r="AH40" i="17"/>
  <c r="BG40" i="17"/>
  <c r="F32" i="16"/>
  <c r="BJ38" i="1"/>
  <c r="G32" i="16" s="1"/>
  <c r="BJ38" i="18"/>
  <c r="P30" i="16" s="1"/>
  <c r="AY40" i="18"/>
  <c r="AV40" i="18"/>
  <c r="BF39" i="18"/>
  <c r="BK39" i="17"/>
  <c r="BM39" i="17" s="1"/>
  <c r="C47" i="38"/>
  <c r="BA40" i="17"/>
  <c r="BD40" i="17"/>
  <c r="BH39" i="18" l="1"/>
  <c r="BJ39" i="18" s="1"/>
  <c r="P31" i="16" s="1"/>
  <c r="C48" i="38"/>
  <c r="BF40" i="18"/>
  <c r="BK40" i="17"/>
  <c r="BM40" i="17" s="1"/>
  <c r="BH40" i="18" l="1"/>
  <c r="BJ40" i="18"/>
  <c r="P32" i="16" s="1"/>
  <c r="H21" i="21" l="1"/>
  <c r="E22" i="21"/>
  <c r="H22" i="21" s="1"/>
  <c r="E21" i="23"/>
  <c r="F21" i="23" s="1"/>
  <c r="E21" i="44"/>
  <c r="F21" i="44"/>
  <c r="E8" i="21"/>
  <c r="H8" i="21" s="1"/>
  <c r="E9" i="21"/>
  <c r="H9" i="21" s="1"/>
  <c r="E10" i="21"/>
  <c r="H10" i="21" s="1"/>
  <c r="BB21" i="23" l="1"/>
  <c r="I21" i="23"/>
  <c r="AB21" i="23"/>
  <c r="F8" i="23"/>
  <c r="F22" i="23"/>
  <c r="BB21" i="44"/>
  <c r="I21" i="44"/>
  <c r="AB21" i="44"/>
  <c r="BD21" i="44" s="1"/>
  <c r="F8" i="44"/>
  <c r="F22" i="44"/>
  <c r="E22" i="44"/>
  <c r="H21" i="44"/>
  <c r="E8" i="44"/>
  <c r="E11" i="21"/>
  <c r="E23" i="21"/>
  <c r="E22" i="23"/>
  <c r="H21" i="23"/>
  <c r="E8" i="23"/>
  <c r="BD21" i="23" l="1"/>
  <c r="BF21" i="23" s="1"/>
  <c r="BB8" i="23"/>
  <c r="AB8" i="23"/>
  <c r="BD8" i="23" s="1"/>
  <c r="I8" i="23"/>
  <c r="F9" i="23"/>
  <c r="H8" i="23"/>
  <c r="E9" i="23"/>
  <c r="E9" i="44"/>
  <c r="H8" i="44"/>
  <c r="BB22" i="44"/>
  <c r="I22" i="44"/>
  <c r="AB22" i="44"/>
  <c r="F23" i="44"/>
  <c r="H11" i="21"/>
  <c r="E12" i="21"/>
  <c r="AB8" i="44"/>
  <c r="I8" i="44"/>
  <c r="BB8" i="44"/>
  <c r="F9" i="44"/>
  <c r="H22" i="23"/>
  <c r="E23" i="23"/>
  <c r="BB22" i="23"/>
  <c r="I22" i="23"/>
  <c r="AB22" i="23"/>
  <c r="F23" i="23"/>
  <c r="E23" i="44"/>
  <c r="H22" i="44"/>
  <c r="BF21" i="44"/>
  <c r="H23" i="21"/>
  <c r="E24" i="21"/>
  <c r="BD8" i="44" l="1"/>
  <c r="BD22" i="44"/>
  <c r="H9" i="23"/>
  <c r="E10" i="23"/>
  <c r="H24" i="21"/>
  <c r="E25" i="21"/>
  <c r="E10" i="44"/>
  <c r="H9" i="44"/>
  <c r="AB9" i="23"/>
  <c r="I9" i="23"/>
  <c r="BB9" i="23"/>
  <c r="F10" i="23"/>
  <c r="H23" i="23"/>
  <c r="E24" i="23"/>
  <c r="BF8" i="23"/>
  <c r="BF8" i="44"/>
  <c r="H12" i="21"/>
  <c r="E13" i="21"/>
  <c r="BB23" i="44"/>
  <c r="I23" i="44"/>
  <c r="AB23" i="44"/>
  <c r="F24" i="44"/>
  <c r="H23" i="44"/>
  <c r="E24" i="44"/>
  <c r="BB23" i="23"/>
  <c r="AB23" i="23"/>
  <c r="I23" i="23"/>
  <c r="F24" i="23"/>
  <c r="BB9" i="44"/>
  <c r="I9" i="44"/>
  <c r="F10" i="44"/>
  <c r="AB9" i="44"/>
  <c r="BF22" i="44"/>
  <c r="BD22" i="23"/>
  <c r="BD23" i="23" l="1"/>
  <c r="BB10" i="44"/>
  <c r="AB10" i="44"/>
  <c r="BD10" i="44" s="1"/>
  <c r="I10" i="44"/>
  <c r="F11" i="44"/>
  <c r="H24" i="44"/>
  <c r="E25" i="44"/>
  <c r="H13" i="21"/>
  <c r="E14" i="21"/>
  <c r="H10" i="44"/>
  <c r="E11" i="44"/>
  <c r="H24" i="23"/>
  <c r="E25" i="23"/>
  <c r="BB24" i="23"/>
  <c r="I24" i="23"/>
  <c r="AB24" i="23"/>
  <c r="BD24" i="23" s="1"/>
  <c r="F25" i="23"/>
  <c r="AB10" i="23"/>
  <c r="I10" i="23"/>
  <c r="BB10" i="23"/>
  <c r="F11" i="23"/>
  <c r="BF22" i="23"/>
  <c r="BF23" i="23"/>
  <c r="H25" i="21"/>
  <c r="E26" i="21"/>
  <c r="BB24" i="44"/>
  <c r="I24" i="44"/>
  <c r="AB24" i="44"/>
  <c r="F25" i="44"/>
  <c r="BD23" i="44"/>
  <c r="H10" i="23"/>
  <c r="E11" i="23"/>
  <c r="BD9" i="44"/>
  <c r="BD9" i="23"/>
  <c r="H11" i="44" l="1"/>
  <c r="E12" i="44"/>
  <c r="H14" i="21"/>
  <c r="E15" i="21"/>
  <c r="BD10" i="23"/>
  <c r="BF10" i="23" s="1"/>
  <c r="H25" i="23"/>
  <c r="E26" i="23"/>
  <c r="BB25" i="44"/>
  <c r="I25" i="44"/>
  <c r="AB25" i="44"/>
  <c r="BD25" i="44" s="1"/>
  <c r="F26" i="44"/>
  <c r="H25" i="44"/>
  <c r="E26" i="44"/>
  <c r="BD24" i="44"/>
  <c r="BB11" i="44"/>
  <c r="F12" i="44"/>
  <c r="I11" i="44"/>
  <c r="AB11" i="44"/>
  <c r="BB25" i="23"/>
  <c r="I25" i="23"/>
  <c r="AB25" i="23"/>
  <c r="F26" i="23"/>
  <c r="BF10" i="44"/>
  <c r="H26" i="21"/>
  <c r="E27" i="21"/>
  <c r="BB11" i="23"/>
  <c r="F12" i="23"/>
  <c r="I11" i="23"/>
  <c r="AB11" i="23"/>
  <c r="BF9" i="44"/>
  <c r="H11" i="23"/>
  <c r="E12" i="23"/>
  <c r="BF23" i="44"/>
  <c r="BF9" i="23"/>
  <c r="BF24" i="23"/>
  <c r="BD11" i="44" l="1"/>
  <c r="BD11" i="23"/>
  <c r="BF11" i="23" s="1"/>
  <c r="E27" i="44"/>
  <c r="H26" i="44"/>
  <c r="BB26" i="44"/>
  <c r="I26" i="44"/>
  <c r="AB26" i="44"/>
  <c r="F27" i="44"/>
  <c r="H15" i="21"/>
  <c r="E16" i="21"/>
  <c r="BF11" i="44"/>
  <c r="H27" i="21"/>
  <c r="E28" i="21"/>
  <c r="BD25" i="23"/>
  <c r="BF24" i="44"/>
  <c r="BB12" i="23"/>
  <c r="AB12" i="23"/>
  <c r="BD12" i="23" s="1"/>
  <c r="F13" i="23"/>
  <c r="I12" i="23"/>
  <c r="BB12" i="44"/>
  <c r="I12" i="44"/>
  <c r="F13" i="44"/>
  <c r="AB12" i="44"/>
  <c r="BF25" i="23"/>
  <c r="BF25" i="44"/>
  <c r="H12" i="23"/>
  <c r="E13" i="23"/>
  <c r="H26" i="23"/>
  <c r="E27" i="23"/>
  <c r="BB26" i="23"/>
  <c r="I26" i="23"/>
  <c r="AB26" i="23"/>
  <c r="BD26" i="23" s="1"/>
  <c r="F27" i="23"/>
  <c r="H12" i="44"/>
  <c r="E13" i="44"/>
  <c r="H13" i="23" l="1"/>
  <c r="E14" i="23"/>
  <c r="BF12" i="23"/>
  <c r="BB13" i="23"/>
  <c r="F14" i="23"/>
  <c r="I13" i="23"/>
  <c r="AB13" i="23"/>
  <c r="BD13" i="23" s="1"/>
  <c r="BB27" i="23"/>
  <c r="AB27" i="23"/>
  <c r="BD27" i="23" s="1"/>
  <c r="I27" i="23"/>
  <c r="F28" i="23"/>
  <c r="H13" i="44"/>
  <c r="E14" i="44"/>
  <c r="H28" i="21"/>
  <c r="E29" i="21"/>
  <c r="H16" i="21"/>
  <c r="E17" i="21"/>
  <c r="E28" i="44"/>
  <c r="H27" i="44"/>
  <c r="BD12" i="44"/>
  <c r="BF26" i="23"/>
  <c r="BB13" i="44"/>
  <c r="I13" i="44"/>
  <c r="F14" i="44"/>
  <c r="AB13" i="44"/>
  <c r="BB27" i="44"/>
  <c r="AB27" i="44"/>
  <c r="I27" i="44"/>
  <c r="F28" i="44"/>
  <c r="H27" i="23"/>
  <c r="E28" i="23"/>
  <c r="BD26" i="44"/>
  <c r="BD27" i="44" l="1"/>
  <c r="H17" i="21"/>
  <c r="E18" i="21"/>
  <c r="BF13" i="23"/>
  <c r="BB14" i="23"/>
  <c r="F15" i="23"/>
  <c r="AB14" i="23"/>
  <c r="BD14" i="23" s="1"/>
  <c r="I14" i="23"/>
  <c r="H29" i="21"/>
  <c r="E30" i="21"/>
  <c r="E15" i="44"/>
  <c r="H14" i="44"/>
  <c r="H28" i="44"/>
  <c r="E29" i="44"/>
  <c r="BD13" i="44"/>
  <c r="H14" i="23"/>
  <c r="E15" i="23"/>
  <c r="H28" i="23"/>
  <c r="E29" i="23"/>
  <c r="BB28" i="44"/>
  <c r="AB28" i="44"/>
  <c r="BD28" i="44" s="1"/>
  <c r="I28" i="44"/>
  <c r="F29" i="44"/>
  <c r="BB14" i="44"/>
  <c r="AB14" i="44"/>
  <c r="F15" i="44"/>
  <c r="I14" i="44"/>
  <c r="BB28" i="23"/>
  <c r="I28" i="23"/>
  <c r="AB28" i="23"/>
  <c r="F29" i="23"/>
  <c r="BF26" i="44"/>
  <c r="BF12" i="44"/>
  <c r="BF27" i="44"/>
  <c r="BF27" i="23"/>
  <c r="BF13" i="44" l="1"/>
  <c r="BF28" i="44"/>
  <c r="E30" i="44"/>
  <c r="H29" i="44"/>
  <c r="BB15" i="23"/>
  <c r="AB15" i="23"/>
  <c r="I15" i="23"/>
  <c r="F16" i="23"/>
  <c r="BB29" i="44"/>
  <c r="I29" i="44"/>
  <c r="AB29" i="44"/>
  <c r="BD29" i="44" s="1"/>
  <c r="F30" i="44"/>
  <c r="BF14" i="23"/>
  <c r="H29" i="23"/>
  <c r="E30" i="23"/>
  <c r="H30" i="21"/>
  <c r="E31" i="21"/>
  <c r="BB15" i="44"/>
  <c r="AB15" i="44"/>
  <c r="I15" i="44"/>
  <c r="F16" i="44"/>
  <c r="H15" i="44"/>
  <c r="E16" i="44"/>
  <c r="BB29" i="23"/>
  <c r="AB29" i="23"/>
  <c r="F30" i="23"/>
  <c r="I29" i="23"/>
  <c r="BD14" i="44"/>
  <c r="H18" i="21"/>
  <c r="E19" i="21"/>
  <c r="H15" i="23"/>
  <c r="E16" i="23"/>
  <c r="BD28" i="23"/>
  <c r="BD15" i="44" l="1"/>
  <c r="BF14" i="44"/>
  <c r="BD15" i="23"/>
  <c r="BB30" i="23"/>
  <c r="I30" i="23"/>
  <c r="AB30" i="23"/>
  <c r="BD30" i="23" s="1"/>
  <c r="F31" i="23"/>
  <c r="E17" i="44"/>
  <c r="H16" i="44"/>
  <c r="H30" i="23"/>
  <c r="E31" i="23"/>
  <c r="BF29" i="44"/>
  <c r="BB16" i="23"/>
  <c r="I16" i="23"/>
  <c r="F17" i="23"/>
  <c r="AB16" i="23"/>
  <c r="BD29" i="23"/>
  <c r="BF15" i="23"/>
  <c r="H16" i="23"/>
  <c r="E17" i="23"/>
  <c r="BB16" i="44"/>
  <c r="F17" i="44"/>
  <c r="I16" i="44"/>
  <c r="AB16" i="44"/>
  <c r="H31" i="21"/>
  <c r="E32" i="21"/>
  <c r="BF28" i="23"/>
  <c r="H30" i="44"/>
  <c r="E31" i="44"/>
  <c r="H19" i="21"/>
  <c r="E20" i="21"/>
  <c r="H20" i="21" s="1"/>
  <c r="BF15" i="44"/>
  <c r="BB30" i="44"/>
  <c r="I30" i="44"/>
  <c r="AB30" i="44"/>
  <c r="BD30" i="44" s="1"/>
  <c r="F31" i="44"/>
  <c r="BB17" i="44" l="1"/>
  <c r="F18" i="44"/>
  <c r="AB17" i="44"/>
  <c r="I17" i="44"/>
  <c r="H17" i="44"/>
  <c r="E18" i="44"/>
  <c r="BB31" i="23"/>
  <c r="AB31" i="23"/>
  <c r="I31" i="23"/>
  <c r="F32" i="23"/>
  <c r="H17" i="23"/>
  <c r="E18" i="23"/>
  <c r="BB17" i="23"/>
  <c r="I17" i="23"/>
  <c r="AB17" i="23"/>
  <c r="BD17" i="23" s="1"/>
  <c r="F18" i="23"/>
  <c r="BF30" i="44"/>
  <c r="BF30" i="23"/>
  <c r="H31" i="44"/>
  <c r="E32" i="44"/>
  <c r="H31" i="23"/>
  <c r="E32" i="23"/>
  <c r="BB31" i="44"/>
  <c r="AB31" i="44"/>
  <c r="BD31" i="44" s="1"/>
  <c r="F32" i="44"/>
  <c r="I31" i="44"/>
  <c r="H32" i="21"/>
  <c r="E33" i="21"/>
  <c r="BD16" i="44"/>
  <c r="BF29" i="23"/>
  <c r="BD16" i="23"/>
  <c r="BD31" i="23" l="1"/>
  <c r="H32" i="23"/>
  <c r="E33" i="23"/>
  <c r="I18" i="23"/>
  <c r="BB18" i="23"/>
  <c r="AB18" i="23"/>
  <c r="BD18" i="23" s="1"/>
  <c r="F19" i="23"/>
  <c r="H18" i="44"/>
  <c r="E19" i="44"/>
  <c r="E33" i="44"/>
  <c r="H32" i="44"/>
  <c r="BF17" i="23"/>
  <c r="H18" i="23"/>
  <c r="E19" i="23"/>
  <c r="BF31" i="44"/>
  <c r="BB32" i="23"/>
  <c r="I32" i="23"/>
  <c r="AB32" i="23"/>
  <c r="F33" i="23"/>
  <c r="BD17" i="44"/>
  <c r="BB32" i="44"/>
  <c r="I32" i="44"/>
  <c r="AB32" i="44"/>
  <c r="F33" i="44"/>
  <c r="H33" i="21"/>
  <c r="E34" i="21"/>
  <c r="BF16" i="44"/>
  <c r="BF31" i="23"/>
  <c r="BF16" i="23"/>
  <c r="BB18" i="44"/>
  <c r="AB18" i="44"/>
  <c r="I18" i="44"/>
  <c r="F19" i="44"/>
  <c r="BD32" i="44" l="1"/>
  <c r="H34" i="21"/>
  <c r="E35" i="21"/>
  <c r="F20" i="23"/>
  <c r="I19" i="23"/>
  <c r="AB19" i="23"/>
  <c r="BB19" i="23"/>
  <c r="H19" i="23"/>
  <c r="E20" i="23"/>
  <c r="H20" i="23" s="1"/>
  <c r="BB33" i="44"/>
  <c r="AB33" i="44"/>
  <c r="I33" i="44"/>
  <c r="F34" i="44"/>
  <c r="E20" i="44"/>
  <c r="H19" i="44"/>
  <c r="H33" i="44"/>
  <c r="E34" i="44"/>
  <c r="BF32" i="44"/>
  <c r="BB19" i="44"/>
  <c r="F20" i="44"/>
  <c r="I19" i="44"/>
  <c r="AB19" i="44"/>
  <c r="BD19" i="44" s="1"/>
  <c r="BF18" i="23"/>
  <c r="BB33" i="23"/>
  <c r="AB33" i="23"/>
  <c r="I33" i="23"/>
  <c r="F34" i="23"/>
  <c r="H33" i="23"/>
  <c r="E34" i="23"/>
  <c r="BD18" i="44"/>
  <c r="BD32" i="23"/>
  <c r="BF17" i="44"/>
  <c r="BD33" i="44" l="1"/>
  <c r="BD19" i="23"/>
  <c r="BF19" i="23" s="1"/>
  <c r="BF19" i="44"/>
  <c r="I20" i="44"/>
  <c r="BB20" i="44"/>
  <c r="AB20" i="44"/>
  <c r="H20" i="44"/>
  <c r="AB20" i="23"/>
  <c r="I20" i="23"/>
  <c r="BB20" i="23"/>
  <c r="BB34" i="44"/>
  <c r="AB34" i="44"/>
  <c r="I34" i="44"/>
  <c r="F35" i="44"/>
  <c r="BB34" i="23"/>
  <c r="AB34" i="23"/>
  <c r="I34" i="23"/>
  <c r="F35" i="23"/>
  <c r="BF33" i="44"/>
  <c r="H35" i="21"/>
  <c r="E36" i="21"/>
  <c r="H34" i="23"/>
  <c r="E35" i="23"/>
  <c r="E35" i="44"/>
  <c r="H34" i="44"/>
  <c r="BD33" i="23"/>
  <c r="BF33" i="23" s="1"/>
  <c r="BF18" i="44"/>
  <c r="BF32" i="23"/>
  <c r="BD34" i="44" l="1"/>
  <c r="BD20" i="44"/>
  <c r="BD34" i="23"/>
  <c r="BB35" i="44"/>
  <c r="AB35" i="44"/>
  <c r="I35" i="44"/>
  <c r="F36" i="44"/>
  <c r="BF34" i="44"/>
  <c r="H35" i="44"/>
  <c r="E36" i="44"/>
  <c r="BF20" i="44"/>
  <c r="H35" i="23"/>
  <c r="E36" i="23"/>
  <c r="H36" i="21"/>
  <c r="E37" i="21"/>
  <c r="BB35" i="23"/>
  <c r="AB35" i="23"/>
  <c r="F36" i="23"/>
  <c r="I35" i="23"/>
  <c r="BD20" i="23"/>
  <c r="BF34" i="23" l="1"/>
  <c r="BD35" i="44"/>
  <c r="BF35" i="44" s="1"/>
  <c r="BB36" i="23"/>
  <c r="I36" i="23"/>
  <c r="F37" i="23"/>
  <c r="AB36" i="23"/>
  <c r="BD36" i="23" s="1"/>
  <c r="H37" i="21"/>
  <c r="E38" i="21"/>
  <c r="BD35" i="23"/>
  <c r="H36" i="23"/>
  <c r="E37" i="23"/>
  <c r="BF20" i="23"/>
  <c r="H36" i="44"/>
  <c r="E37" i="44"/>
  <c r="BB36" i="44"/>
  <c r="AB36" i="44"/>
  <c r="BD36" i="44" s="1"/>
  <c r="F37" i="44"/>
  <c r="I36" i="44"/>
  <c r="BF35" i="23" l="1"/>
  <c r="BB37" i="44"/>
  <c r="I37" i="44"/>
  <c r="AB37" i="44"/>
  <c r="F38" i="44"/>
  <c r="BB37" i="23"/>
  <c r="F38" i="23"/>
  <c r="AB37" i="23"/>
  <c r="I37" i="23"/>
  <c r="BF36" i="44"/>
  <c r="H37" i="44"/>
  <c r="E38" i="44"/>
  <c r="BF36" i="23"/>
  <c r="H37" i="23"/>
  <c r="E38" i="23"/>
  <c r="H38" i="21"/>
  <c r="E39" i="21"/>
  <c r="BB38" i="23" l="1"/>
  <c r="F39" i="23"/>
  <c r="AB38" i="23"/>
  <c r="I38" i="23"/>
  <c r="H38" i="44"/>
  <c r="E39" i="44"/>
  <c r="E40" i="21"/>
  <c r="H40" i="21" s="1"/>
  <c r="H39" i="21"/>
  <c r="BB38" i="44"/>
  <c r="F39" i="44"/>
  <c r="I38" i="44"/>
  <c r="AB38" i="44"/>
  <c r="BD38" i="44" s="1"/>
  <c r="H38" i="23"/>
  <c r="E39" i="23"/>
  <c r="BD37" i="23"/>
  <c r="BF37" i="23" s="1"/>
  <c r="BD37" i="44"/>
  <c r="BF37" i="44" s="1"/>
  <c r="BD38" i="23" l="1"/>
  <c r="BF38" i="23" s="1"/>
  <c r="BF38" i="44"/>
  <c r="BB39" i="23"/>
  <c r="F40" i="23"/>
  <c r="AB39" i="23"/>
  <c r="I39" i="23"/>
  <c r="H39" i="23"/>
  <c r="E40" i="23"/>
  <c r="H40" i="23" s="1"/>
  <c r="E40" i="44"/>
  <c r="H40" i="44" s="1"/>
  <c r="H39" i="44"/>
  <c r="BB39" i="44"/>
  <c r="F40" i="44"/>
  <c r="AB39" i="44"/>
  <c r="I39" i="44"/>
  <c r="BD39" i="44" l="1"/>
  <c r="BD39" i="23"/>
  <c r="BF39" i="23" s="1"/>
  <c r="BB40" i="44"/>
  <c r="AB40" i="44"/>
  <c r="BD40" i="44" s="1"/>
  <c r="I40" i="44"/>
  <c r="BF39" i="44"/>
  <c r="AB40" i="23"/>
  <c r="BB40" i="23"/>
  <c r="I40" i="23"/>
  <c r="BF40" i="44" l="1"/>
  <c r="BD40" i="23"/>
  <c r="BF40" i="23" s="1"/>
  <c r="AK7" i="52"/>
  <c r="AY7" i="52" s="1"/>
  <c r="BF7" i="52" s="1"/>
  <c r="AI8" i="52"/>
  <c r="AK8" i="52" s="1"/>
  <c r="AY8" i="52" l="1"/>
  <c r="AZ8" i="52" s="1"/>
  <c r="K34" i="62"/>
  <c r="K37" i="62" s="1"/>
  <c r="BE7" i="52"/>
  <c r="AI9" i="52"/>
  <c r="BE8" i="52"/>
  <c r="BF8" i="52"/>
  <c r="BF5" i="16" s="1"/>
  <c r="AZ7" i="52" l="1"/>
  <c r="K42" i="62" s="1"/>
  <c r="BF4" i="16"/>
  <c r="O50" i="68" s="1"/>
  <c r="AI10" i="52"/>
  <c r="AK9" i="52"/>
  <c r="BC8" i="52"/>
  <c r="BE5" i="16" s="1"/>
  <c r="BB8" i="52"/>
  <c r="BD5" i="16"/>
  <c r="AY9" i="52" l="1"/>
  <c r="AZ9" i="52" s="1"/>
  <c r="BB7" i="52"/>
  <c r="BD4" i="16"/>
  <c r="BC7" i="52"/>
  <c r="K43" i="62" s="1"/>
  <c r="BE9" i="52"/>
  <c r="BF9" i="52"/>
  <c r="BF6" i="16" s="1"/>
  <c r="AI11" i="52"/>
  <c r="AK10" i="52"/>
  <c r="AY10" i="52" l="1"/>
  <c r="AZ10" i="52" s="1"/>
  <c r="BE4" i="16"/>
  <c r="AI12" i="52"/>
  <c r="AK11" i="52"/>
  <c r="BF10" i="52"/>
  <c r="BF7" i="16" s="1"/>
  <c r="BE10" i="52"/>
  <c r="BB9" i="52"/>
  <c r="BC9" i="52"/>
  <c r="BE6" i="16" s="1"/>
  <c r="BD6" i="16"/>
  <c r="AY11" i="52" l="1"/>
  <c r="AZ11" i="52" s="1"/>
  <c r="BC10" i="52"/>
  <c r="BE7" i="16" s="1"/>
  <c r="BD7" i="16"/>
  <c r="BB10" i="52"/>
  <c r="BE11" i="52"/>
  <c r="BF11" i="52"/>
  <c r="BF8" i="16" s="1"/>
  <c r="AI13" i="52"/>
  <c r="AK12" i="52"/>
  <c r="AY12" i="52" l="1"/>
  <c r="AZ12" i="52" s="1"/>
  <c r="BC11" i="52"/>
  <c r="BE8" i="16" s="1"/>
  <c r="BB11" i="52"/>
  <c r="BD8" i="16"/>
  <c r="BF12" i="52"/>
  <c r="BF9" i="16" s="1"/>
  <c r="BE12" i="52"/>
  <c r="AK13" i="52"/>
  <c r="AI14" i="52"/>
  <c r="AY13" i="52" l="1"/>
  <c r="AZ13" i="52" s="1"/>
  <c r="BF13" i="52"/>
  <c r="BF10" i="16" s="1"/>
  <c r="BE13" i="52"/>
  <c r="BB12" i="52"/>
  <c r="BC12" i="52"/>
  <c r="BE9" i="16" s="1"/>
  <c r="BD9" i="16"/>
  <c r="AI15" i="52"/>
  <c r="AK14" i="52"/>
  <c r="AY14" i="52" l="1"/>
  <c r="AZ14" i="52" s="1"/>
  <c r="AI16" i="52"/>
  <c r="AK15" i="52"/>
  <c r="BC13" i="52"/>
  <c r="BE10" i="16" s="1"/>
  <c r="BD10" i="16"/>
  <c r="BB13" i="52"/>
  <c r="BF14" i="52"/>
  <c r="BF11" i="16" s="1"/>
  <c r="BE14" i="52"/>
  <c r="AY15" i="52" l="1"/>
  <c r="AZ15" i="52" s="1"/>
  <c r="BC14" i="52"/>
  <c r="BE11" i="16" s="1"/>
  <c r="BB14" i="52"/>
  <c r="BD11" i="16"/>
  <c r="BE15" i="52"/>
  <c r="BF15" i="52"/>
  <c r="BF12" i="16" s="1"/>
  <c r="AK16" i="52"/>
  <c r="AI17" i="52"/>
  <c r="AY16" i="52" l="1"/>
  <c r="AZ16" i="52" s="1"/>
  <c r="BD12" i="16"/>
  <c r="BB15" i="52"/>
  <c r="BC15" i="52"/>
  <c r="BE12" i="16" s="1"/>
  <c r="AI18" i="52"/>
  <c r="AK17" i="52"/>
  <c r="BF16" i="52"/>
  <c r="BF13" i="16" s="1"/>
  <c r="BE16" i="52"/>
  <c r="AY17" i="52" l="1"/>
  <c r="AZ17" i="52" s="1"/>
  <c r="BF17" i="52"/>
  <c r="BF14" i="16" s="1"/>
  <c r="BE17" i="52"/>
  <c r="AK18" i="52"/>
  <c r="AI19" i="52"/>
  <c r="BB16" i="52"/>
  <c r="BC16" i="52"/>
  <c r="BE13" i="16" s="1"/>
  <c r="BD13" i="16"/>
  <c r="AY18" i="52" l="1"/>
  <c r="AZ18" i="52" s="1"/>
  <c r="AI20" i="52"/>
  <c r="AK19" i="52"/>
  <c r="AY19" i="52" s="1"/>
  <c r="BF18" i="52"/>
  <c r="BF15" i="16" s="1"/>
  <c r="BE18" i="52"/>
  <c r="BB17" i="52"/>
  <c r="BC17" i="52"/>
  <c r="BE14" i="16" s="1"/>
  <c r="BD14" i="16"/>
  <c r="AZ19" i="52" l="1"/>
  <c r="BC18" i="52"/>
  <c r="BE15" i="16" s="1"/>
  <c r="BB18" i="52"/>
  <c r="BD15" i="16"/>
  <c r="BF19" i="52"/>
  <c r="BF16" i="16" s="1"/>
  <c r="BE19" i="52"/>
  <c r="AK20" i="52"/>
  <c r="AI21" i="52"/>
  <c r="AY20" i="52" l="1"/>
  <c r="AZ20" i="52" s="1"/>
  <c r="BF20" i="52"/>
  <c r="BF17" i="16" s="1"/>
  <c r="BE20" i="52"/>
  <c r="AI22" i="52"/>
  <c r="AK21" i="52"/>
  <c r="AY21" i="52" s="1"/>
  <c r="BD16" i="16"/>
  <c r="BB19" i="52"/>
  <c r="BC19" i="52"/>
  <c r="BE16" i="16" s="1"/>
  <c r="AZ21" i="52" l="1"/>
  <c r="BF21" i="52"/>
  <c r="BF18" i="16" s="1"/>
  <c r="BE21" i="52"/>
  <c r="AI23" i="52"/>
  <c r="AK22" i="52"/>
  <c r="BB20" i="52"/>
  <c r="BD17" i="16"/>
  <c r="BC20" i="52"/>
  <c r="BE17" i="16" s="1"/>
  <c r="AY22" i="52" l="1"/>
  <c r="AZ22" i="52" s="1"/>
  <c r="BF22" i="52"/>
  <c r="BF19" i="16" s="1"/>
  <c r="BE22" i="52"/>
  <c r="AI24" i="52"/>
  <c r="AK23" i="52"/>
  <c r="AY23" i="52" s="1"/>
  <c r="BD18" i="16"/>
  <c r="BB21" i="52"/>
  <c r="BC21" i="52"/>
  <c r="BE18" i="16" s="1"/>
  <c r="AZ23" i="52" l="1"/>
  <c r="BE23" i="52"/>
  <c r="BF23" i="52"/>
  <c r="BF20" i="16" s="1"/>
  <c r="AI25" i="52"/>
  <c r="AK24" i="52"/>
  <c r="AY24" i="52" s="1"/>
  <c r="BB22" i="52"/>
  <c r="BC22" i="52"/>
  <c r="BE19" i="16" s="1"/>
  <c r="BD19" i="16"/>
  <c r="AZ24" i="52" l="1"/>
  <c r="BF24" i="52"/>
  <c r="BF21" i="16" s="1"/>
  <c r="BE24" i="52"/>
  <c r="AI26" i="52"/>
  <c r="AK25" i="52"/>
  <c r="BD20" i="16"/>
  <c r="BC23" i="52"/>
  <c r="BE20" i="16" s="1"/>
  <c r="BB23" i="52"/>
  <c r="AY25" i="52" l="1"/>
  <c r="AZ25" i="52" s="1"/>
  <c r="BF25" i="52"/>
  <c r="BF22" i="16" s="1"/>
  <c r="BE25" i="52"/>
  <c r="AK26" i="52"/>
  <c r="AI27" i="52"/>
  <c r="BD21" i="16"/>
  <c r="BB24" i="52"/>
  <c r="BC24" i="52"/>
  <c r="BE21" i="16" s="1"/>
  <c r="AY26" i="52" l="1"/>
  <c r="AZ26" i="52" s="1"/>
  <c r="AI28" i="52"/>
  <c r="AK27" i="52"/>
  <c r="BE26" i="52"/>
  <c r="BF26" i="52"/>
  <c r="BF23" i="16" s="1"/>
  <c r="BC25" i="52"/>
  <c r="BE22" i="16" s="1"/>
  <c r="BB25" i="52"/>
  <c r="BD22" i="16"/>
  <c r="AY27" i="52" l="1"/>
  <c r="AZ27" i="52" s="1"/>
  <c r="BD23" i="16"/>
  <c r="BB26" i="52"/>
  <c r="BC26" i="52"/>
  <c r="BE23" i="16" s="1"/>
  <c r="BF27" i="52"/>
  <c r="BF24" i="16" s="1"/>
  <c r="BE27" i="52"/>
  <c r="AI29" i="52"/>
  <c r="AK28" i="52"/>
  <c r="AY28" i="52" l="1"/>
  <c r="AZ28" i="52" s="1"/>
  <c r="BF28" i="52"/>
  <c r="BF25" i="16" s="1"/>
  <c r="BE28" i="52"/>
  <c r="AK29" i="52"/>
  <c r="AI30" i="52"/>
  <c r="BC27" i="52"/>
  <c r="BE24" i="16" s="1"/>
  <c r="BB27" i="52"/>
  <c r="BD24" i="16"/>
  <c r="AY29" i="52" l="1"/>
  <c r="AZ29" i="52" s="1"/>
  <c r="AK30" i="52"/>
  <c r="AI31" i="52"/>
  <c r="BE29" i="52"/>
  <c r="BF29" i="52"/>
  <c r="BF26" i="16" s="1"/>
  <c r="BC28" i="52"/>
  <c r="BE25" i="16" s="1"/>
  <c r="BD25" i="16"/>
  <c r="BB28" i="52"/>
  <c r="AY30" i="52" l="1"/>
  <c r="AZ30" i="52" s="1"/>
  <c r="BD26" i="16"/>
  <c r="BC29" i="52"/>
  <c r="BE26" i="16" s="1"/>
  <c r="BB29" i="52"/>
  <c r="AI32" i="52"/>
  <c r="AK31" i="52"/>
  <c r="AY31" i="52" s="1"/>
  <c r="BE30" i="52"/>
  <c r="BF30" i="52"/>
  <c r="BF27" i="16" s="1"/>
  <c r="AZ31" i="52" l="1"/>
  <c r="BD27" i="16"/>
  <c r="BB30" i="52"/>
  <c r="BC30" i="52"/>
  <c r="BE27" i="16" s="1"/>
  <c r="AI33" i="52"/>
  <c r="AK32" i="52"/>
  <c r="BF31" i="52"/>
  <c r="BF28" i="16" s="1"/>
  <c r="BE31" i="52"/>
  <c r="AY32" i="52" l="1"/>
  <c r="AZ32" i="52" s="1"/>
  <c r="BC31" i="52"/>
  <c r="BE28" i="16" s="1"/>
  <c r="BD28" i="16"/>
  <c r="BB31" i="52"/>
  <c r="BE32" i="52"/>
  <c r="BF32" i="52"/>
  <c r="BF29" i="16" s="1"/>
  <c r="AI34" i="52"/>
  <c r="AK33" i="52"/>
  <c r="AY33" i="52" s="1"/>
  <c r="AZ33" i="52" l="1"/>
  <c r="BF33" i="52"/>
  <c r="BF30" i="16" s="1"/>
  <c r="BE33" i="52"/>
  <c r="BD29" i="16"/>
  <c r="BB32" i="52"/>
  <c r="BC32" i="52"/>
  <c r="BE29" i="16" s="1"/>
  <c r="AK34" i="52"/>
  <c r="AI35" i="52"/>
  <c r="AY34" i="52" l="1"/>
  <c r="AZ34" i="52" s="1"/>
  <c r="AI36" i="52"/>
  <c r="AK35" i="52"/>
  <c r="AY35" i="52" s="1"/>
  <c r="BE34" i="52"/>
  <c r="BF34" i="52"/>
  <c r="BF31" i="16" s="1"/>
  <c r="BD30" i="16"/>
  <c r="BB33" i="52"/>
  <c r="BC33" i="52"/>
  <c r="BE30" i="16" s="1"/>
  <c r="AZ35" i="52" l="1"/>
  <c r="BD31" i="16"/>
  <c r="BB34" i="52"/>
  <c r="BC34" i="52"/>
  <c r="BE31" i="16" s="1"/>
  <c r="BE35" i="52"/>
  <c r="BF35" i="52"/>
  <c r="BF32" i="16" s="1"/>
  <c r="AI37" i="52"/>
  <c r="AK36" i="52"/>
  <c r="AY36" i="52" s="1"/>
  <c r="AZ36" i="52" l="1"/>
  <c r="AK37" i="52"/>
  <c r="AY37" i="52" s="1"/>
  <c r="AI38" i="52"/>
  <c r="BC35" i="52"/>
  <c r="BE32" i="16" s="1"/>
  <c r="BB35" i="52"/>
  <c r="BD32" i="16"/>
  <c r="BE36" i="52"/>
  <c r="BF36" i="52"/>
  <c r="BF33" i="16" s="1"/>
  <c r="AZ37" i="52" l="1"/>
  <c r="BD33" i="16"/>
  <c r="BC36" i="52"/>
  <c r="BE33" i="16" s="1"/>
  <c r="BB36" i="52"/>
  <c r="AI39" i="52"/>
  <c r="AK38" i="52"/>
  <c r="AY38" i="52" s="1"/>
  <c r="BE37" i="52"/>
  <c r="BF37" i="52"/>
  <c r="AZ38" i="52" l="1"/>
  <c r="BF38" i="52"/>
  <c r="BE38" i="52"/>
  <c r="AI40" i="52"/>
  <c r="AK39" i="52"/>
  <c r="AY39" i="52" s="1"/>
  <c r="BC37" i="52"/>
  <c r="BB37" i="52"/>
  <c r="AZ39" i="52" l="1"/>
  <c r="BF39" i="52"/>
  <c r="BE39" i="52"/>
  <c r="AK40" i="52"/>
  <c r="AI41" i="52"/>
  <c r="AK41" i="52" s="1"/>
  <c r="BC38" i="52"/>
  <c r="BB38" i="52"/>
  <c r="AY40" i="52" l="1"/>
  <c r="AZ40" i="52" s="1"/>
  <c r="AY41" i="52"/>
  <c r="AZ41" i="52" s="1"/>
  <c r="BE40" i="52"/>
  <c r="BF40" i="52"/>
  <c r="BF41" i="52"/>
  <c r="BE41" i="52"/>
  <c r="BB39" i="52"/>
  <c r="BC39" i="52"/>
  <c r="BB41" i="52" l="1"/>
  <c r="BC41" i="52"/>
  <c r="BB40" i="52"/>
  <c r="BC40" i="52"/>
  <c r="N8" i="17"/>
  <c r="N9" i="17" s="1"/>
  <c r="O7" i="17"/>
  <c r="BO7" i="17" l="1"/>
  <c r="F13" i="66" s="1"/>
  <c r="F16" i="66" s="1"/>
  <c r="BU7" i="17"/>
  <c r="O4" i="16" s="1"/>
  <c r="E3" i="62"/>
  <c r="E14" i="62" s="1"/>
  <c r="BT7" i="17"/>
  <c r="O8" i="17"/>
  <c r="BO8" i="17" s="1"/>
  <c r="N10" i="17"/>
  <c r="O9" i="17"/>
  <c r="BO9" i="17" s="1"/>
  <c r="F14" i="59" l="1"/>
  <c r="F17" i="59" s="1"/>
  <c r="F13" i="67"/>
  <c r="F16" i="67" s="1"/>
  <c r="F13" i="68"/>
  <c r="F16" i="68" s="1"/>
  <c r="O51" i="59"/>
  <c r="BQ7" i="17"/>
  <c r="E19" i="62"/>
  <c r="BU8" i="17"/>
  <c r="O5" i="16" s="1"/>
  <c r="BT8" i="17"/>
  <c r="BT9" i="17"/>
  <c r="BU9" i="17"/>
  <c r="O6" i="16" s="1"/>
  <c r="M5" i="16"/>
  <c r="BQ8" i="17"/>
  <c r="BR8" i="17"/>
  <c r="N5" i="16" s="1"/>
  <c r="M4" i="16"/>
  <c r="BR7" i="17"/>
  <c r="N11" i="17"/>
  <c r="O10" i="17"/>
  <c r="BO10" i="17" s="1"/>
  <c r="N4" i="16" l="1"/>
  <c r="E20" i="62"/>
  <c r="BU10" i="17"/>
  <c r="O7" i="16" s="1"/>
  <c r="BT10" i="17"/>
  <c r="N12" i="17"/>
  <c r="O11" i="17"/>
  <c r="BO11" i="17" s="1"/>
  <c r="M6" i="16"/>
  <c r="BQ9" i="17"/>
  <c r="BR9" i="17"/>
  <c r="N6" i="16" s="1"/>
  <c r="BT11" i="17" l="1"/>
  <c r="BU11" i="17"/>
  <c r="O8" i="16" s="1"/>
  <c r="O12" i="17"/>
  <c r="BO12" i="17" s="1"/>
  <c r="N13" i="17"/>
  <c r="M7" i="16"/>
  <c r="BQ10" i="17"/>
  <c r="BR10" i="17"/>
  <c r="N7" i="16" s="1"/>
  <c r="BT12" i="17" l="1"/>
  <c r="BU12" i="17"/>
  <c r="O9" i="16" s="1"/>
  <c r="O13" i="17"/>
  <c r="BO13" i="17" s="1"/>
  <c r="N14" i="17"/>
  <c r="M8" i="16"/>
  <c r="BR11" i="17"/>
  <c r="N8" i="16" s="1"/>
  <c r="BQ11" i="17"/>
  <c r="BT13" i="17" l="1"/>
  <c r="BU13" i="17"/>
  <c r="O10" i="16" s="1"/>
  <c r="BR12" i="17"/>
  <c r="N9" i="16" s="1"/>
  <c r="M9" i="16"/>
  <c r="BQ12" i="17"/>
  <c r="N15" i="17"/>
  <c r="O14" i="17"/>
  <c r="BO14" i="17" s="1"/>
  <c r="BT14" i="17" l="1"/>
  <c r="BU14" i="17"/>
  <c r="O11" i="16" s="1"/>
  <c r="M10" i="16"/>
  <c r="BR13" i="17"/>
  <c r="N10" i="16" s="1"/>
  <c r="BQ13" i="17"/>
  <c r="O15" i="17"/>
  <c r="BO15" i="17" s="1"/>
  <c r="N16" i="17"/>
  <c r="BT15" i="17" l="1"/>
  <c r="BU15" i="17"/>
  <c r="O12" i="16" s="1"/>
  <c r="N17" i="17"/>
  <c r="O16" i="17"/>
  <c r="BO16" i="17" s="1"/>
  <c r="M11" i="16"/>
  <c r="BQ14" i="17"/>
  <c r="BR14" i="17"/>
  <c r="N11" i="16" s="1"/>
  <c r="BT16" i="17" l="1"/>
  <c r="BU16" i="17"/>
  <c r="O13" i="16" s="1"/>
  <c r="M12" i="16"/>
  <c r="BR15" i="17"/>
  <c r="N12" i="16" s="1"/>
  <c r="BQ15" i="17"/>
  <c r="O17" i="17"/>
  <c r="BO17" i="17" s="1"/>
  <c r="N18" i="17"/>
  <c r="BT17" i="17" l="1"/>
  <c r="BU17" i="17"/>
  <c r="O14" i="16" s="1"/>
  <c r="N19" i="17"/>
  <c r="O18" i="17"/>
  <c r="BO18" i="17" s="1"/>
  <c r="BR16" i="17"/>
  <c r="N13" i="16" s="1"/>
  <c r="BQ16" i="17"/>
  <c r="M13" i="16"/>
  <c r="BT18" i="17" l="1"/>
  <c r="BU18" i="17"/>
  <c r="O15" i="16" s="1"/>
  <c r="BR17" i="17"/>
  <c r="N14" i="16" s="1"/>
  <c r="BQ17" i="17"/>
  <c r="M14" i="16"/>
  <c r="O19" i="17"/>
  <c r="BO19" i="17" s="1"/>
  <c r="N20" i="17"/>
  <c r="BU19" i="17" l="1"/>
  <c r="O16" i="16" s="1"/>
  <c r="BT19" i="17"/>
  <c r="O20" i="17"/>
  <c r="BO20" i="17" s="1"/>
  <c r="N21" i="17"/>
  <c r="M15" i="16"/>
  <c r="BR18" i="17"/>
  <c r="N15" i="16" s="1"/>
  <c r="BQ18" i="17"/>
  <c r="BU20" i="17" l="1"/>
  <c r="O17" i="16" s="1"/>
  <c r="BT20" i="17"/>
  <c r="M16" i="16"/>
  <c r="BR19" i="17"/>
  <c r="N16" i="16" s="1"/>
  <c r="BQ19" i="17"/>
  <c r="N22" i="17"/>
  <c r="O21" i="17"/>
  <c r="BO21" i="17" s="1"/>
  <c r="BT21" i="17" l="1"/>
  <c r="BU21" i="17"/>
  <c r="O18" i="16" s="1"/>
  <c r="BR20" i="17"/>
  <c r="N17" i="16" s="1"/>
  <c r="BQ20" i="17"/>
  <c r="M17" i="16"/>
  <c r="O22" i="17"/>
  <c r="BO22" i="17" s="1"/>
  <c r="N23" i="17"/>
  <c r="BU22" i="17" l="1"/>
  <c r="O19" i="16" s="1"/>
  <c r="BT22" i="17"/>
  <c r="N24" i="17"/>
  <c r="O23" i="17"/>
  <c r="BO23" i="17" s="1"/>
  <c r="M18" i="16"/>
  <c r="BR21" i="17"/>
  <c r="N18" i="16" s="1"/>
  <c r="BQ21" i="17"/>
  <c r="BT23" i="17" l="1"/>
  <c r="BU23" i="17"/>
  <c r="O20" i="16" s="1"/>
  <c r="BQ22" i="17"/>
  <c r="BR22" i="17"/>
  <c r="N19" i="16" s="1"/>
  <c r="M19" i="16"/>
  <c r="N25" i="17"/>
  <c r="O24" i="17"/>
  <c r="BO24" i="17" s="1"/>
  <c r="BT24" i="17" l="1"/>
  <c r="BU24" i="17"/>
  <c r="O21" i="16" s="1"/>
  <c r="BQ23" i="17"/>
  <c r="M20" i="16"/>
  <c r="BR23" i="17"/>
  <c r="N20" i="16" s="1"/>
  <c r="N26" i="17"/>
  <c r="O25" i="17"/>
  <c r="BO25" i="17" s="1"/>
  <c r="BT25" i="17" l="1"/>
  <c r="BU25" i="17"/>
  <c r="O22" i="16" s="1"/>
  <c r="N27" i="17"/>
  <c r="O26" i="17"/>
  <c r="BO26" i="17" s="1"/>
  <c r="M21" i="16"/>
  <c r="BR24" i="17"/>
  <c r="N21" i="16" s="1"/>
  <c r="BQ24" i="17"/>
  <c r="BT26" i="17" l="1"/>
  <c r="BU26" i="17"/>
  <c r="O23" i="16" s="1"/>
  <c r="O27" i="17"/>
  <c r="BO27" i="17" s="1"/>
  <c r="N28" i="17"/>
  <c r="M22" i="16"/>
  <c r="BR25" i="17"/>
  <c r="N22" i="16" s="1"/>
  <c r="BQ25" i="17"/>
  <c r="BU27" i="17" l="1"/>
  <c r="O24" i="16" s="1"/>
  <c r="BT27" i="17"/>
  <c r="N29" i="17"/>
  <c r="O28" i="17"/>
  <c r="BO28" i="17" s="1"/>
  <c r="BR26" i="17"/>
  <c r="N23" i="16" s="1"/>
  <c r="BQ26" i="17"/>
  <c r="M23" i="16"/>
  <c r="BT28" i="17" l="1"/>
  <c r="BU28" i="17"/>
  <c r="O25" i="16" s="1"/>
  <c r="BR27" i="17"/>
  <c r="N24" i="16" s="1"/>
  <c r="M24" i="16"/>
  <c r="BQ27" i="17"/>
  <c r="O29" i="17"/>
  <c r="BO29" i="17" s="1"/>
  <c r="N30" i="17"/>
  <c r="BT29" i="17" l="1"/>
  <c r="BU29" i="17"/>
  <c r="O26" i="16" s="1"/>
  <c r="N31" i="17"/>
  <c r="O30" i="17"/>
  <c r="BO30" i="17" s="1"/>
  <c r="M25" i="16"/>
  <c r="BQ28" i="17"/>
  <c r="BR28" i="17"/>
  <c r="N25" i="16" s="1"/>
  <c r="BT30" i="17" l="1"/>
  <c r="BU30" i="17"/>
  <c r="O27" i="16" s="1"/>
  <c r="O31" i="17"/>
  <c r="BO31" i="17" s="1"/>
  <c r="N32" i="17"/>
  <c r="BR29" i="17"/>
  <c r="N26" i="16" s="1"/>
  <c r="BQ29" i="17"/>
  <c r="M26" i="16"/>
  <c r="BU31" i="17" l="1"/>
  <c r="O28" i="16" s="1"/>
  <c r="BT31" i="17"/>
  <c r="M27" i="16"/>
  <c r="BR30" i="17"/>
  <c r="N27" i="16" s="1"/>
  <c r="BQ30" i="17"/>
  <c r="O32" i="17"/>
  <c r="BO32" i="17" s="1"/>
  <c r="N33" i="17"/>
  <c r="BU32" i="17" l="1"/>
  <c r="O29" i="16" s="1"/>
  <c r="BT32" i="17"/>
  <c r="M28" i="16"/>
  <c r="BR31" i="17"/>
  <c r="N28" i="16" s="1"/>
  <c r="BQ31" i="17"/>
  <c r="N34" i="17"/>
  <c r="O33" i="17"/>
  <c r="BO33" i="17" s="1"/>
  <c r="BT33" i="17" l="1"/>
  <c r="BU33" i="17"/>
  <c r="O30" i="16" s="1"/>
  <c r="BR32" i="17"/>
  <c r="N29" i="16" s="1"/>
  <c r="M29" i="16"/>
  <c r="BQ32" i="17"/>
  <c r="O34" i="17"/>
  <c r="BO34" i="17" s="1"/>
  <c r="N35" i="17"/>
  <c r="BU34" i="17" l="1"/>
  <c r="O31" i="16" s="1"/>
  <c r="BT34" i="17"/>
  <c r="N36" i="17"/>
  <c r="O35" i="17"/>
  <c r="BO35" i="17" s="1"/>
  <c r="M30" i="16"/>
  <c r="BQ33" i="17"/>
  <c r="BR33" i="17"/>
  <c r="N30" i="16" s="1"/>
  <c r="BT35" i="17" l="1"/>
  <c r="BU35" i="17"/>
  <c r="O32" i="16" s="1"/>
  <c r="M31" i="16"/>
  <c r="BR34" i="17"/>
  <c r="N31" i="16" s="1"/>
  <c r="BQ34" i="17"/>
  <c r="O36" i="17"/>
  <c r="BO36" i="17" s="1"/>
  <c r="N37" i="17"/>
  <c r="BT36" i="17" l="1"/>
  <c r="BU36" i="17"/>
  <c r="O33" i="16" s="1"/>
  <c r="N38" i="17"/>
  <c r="O37" i="17"/>
  <c r="BO37" i="17" s="1"/>
  <c r="BQ35" i="17"/>
  <c r="M32" i="16"/>
  <c r="BR35" i="17"/>
  <c r="N32" i="16" s="1"/>
  <c r="BT37" i="17" l="1"/>
  <c r="BU37" i="17"/>
  <c r="BQ36" i="17"/>
  <c r="BR36" i="17"/>
  <c r="N33" i="16" s="1"/>
  <c r="M33" i="16"/>
  <c r="O38" i="17"/>
  <c r="BO38" i="17" s="1"/>
  <c r="N39" i="17"/>
  <c r="BT38" i="17" l="1"/>
  <c r="BU38" i="17"/>
  <c r="N40" i="17"/>
  <c r="O39" i="17"/>
  <c r="BO39" i="17" s="1"/>
  <c r="BQ37" i="17"/>
  <c r="BR37" i="17"/>
  <c r="BT39" i="17" l="1"/>
  <c r="BU39" i="17"/>
  <c r="BQ38" i="17"/>
  <c r="BR38" i="17"/>
  <c r="O40" i="17"/>
  <c r="BO40" i="17" s="1"/>
  <c r="N41" i="17"/>
  <c r="O41" i="17" s="1"/>
  <c r="BO41" i="17" s="1"/>
  <c r="BT40" i="17" l="1"/>
  <c r="BU40" i="17"/>
  <c r="BT41" i="17"/>
  <c r="BU41" i="17"/>
  <c r="BQ39" i="17"/>
  <c r="BR39" i="17"/>
  <c r="BR40" i="17" l="1"/>
  <c r="BQ40" i="17"/>
  <c r="BR41" i="17"/>
  <c r="BQ41" i="17"/>
  <c r="BA7" i="49"/>
  <c r="BD7" i="49" l="1"/>
  <c r="K19" i="62"/>
  <c r="AQ4" i="16"/>
  <c r="AR4" i="16" l="1"/>
  <c r="K20" i="6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Magda Borges</author>
    <author>Madeleine Johnson</author>
  </authors>
  <commentList>
    <comment ref="AQ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labour.</t>
        </r>
      </text>
    </comment>
    <comment ref="AE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pesticides, herbicides and other chemicals applications, harvesting, fertilising and pruning.</t>
        </r>
      </text>
    </comment>
    <comment ref="BO3" authorId="1" shapeId="0" xr:uid="{70E4CC77-1ED3-4E6B-90B5-F457300E9B41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Other option Labour Costs? 
https://tradingeconomics.com/australia/labour-costs</t>
        </r>
      </text>
    </comment>
    <comment ref="BN5" authorId="1" shapeId="0" xr:uid="{3B9CFA5F-509B-4023-98A8-59AEF6073EB4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CPI - Index number Sep-2022 128.4 reference index 2011-2012=100 ABS spreadsheet</t>
        </r>
      </text>
    </comment>
    <comment ref="BO5" authorId="1" shapeId="0" xr:uid="{F6265850-41B4-4155-8952-54FA6E773B54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Wage price index Sep-2022 142.1 https://explore.data.abs.gov.au/vis?fs[0]=ABS%20Topics%2C1%7CECONOMY%23ECONOMY%23%7CPrice%20Indexes%20and%20Inflation%23PRICE_INDEX_INFLATION%23&amp;pg=0&amp;fc=ABS%20Topics&amp;df[ds]=ABS_ABS_TOPICS&amp;df[id]=WPI&amp;df[ag]=ABS&amp;df[vs]=1.0.0&amp;pd=2016-Q1%2C2022-Q3&amp;dq=.THRPEB..TOT..AUS.Q&amp;ly[cl]=MEASURE&amp;ly[rw]=TIME_PERIOD&amp;ly[rs]=TSEST%2CSECTOR </t>
        </r>
      </text>
    </comment>
    <comment ref="BP5" authorId="1" shapeId="0" xr:uid="{A8850F8E-5517-49D7-8BB3-073D2C2A9297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Fuel, ABARES Farm Inputs - 143.56 U/L + %106.94 D )avg 2021</t>
        </r>
      </text>
    </comment>
    <comment ref="BQ5" authorId="1" shapeId="0" xr:uid="{CA6B65F3-5DEE-45A0-ABFA-8446990681C4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original 2016/17 value from MR
</t>
        </r>
      </text>
    </comment>
    <comment ref="BN6" authorId="1" shapeId="0" xr:uid="{17BC292F-39C0-47B2-B0A9-53C827C3D8E6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2023, 2024 forecast https://tradingeconomics.com/australia/consumer-price-index-cpi?embed/forecast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BD2" authorId="0" shapeId="0" xr:uid="{E637484C-F514-4EA8-83D9-80A67AEC89C3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$0.016 / kilogram
Average of levies for different varieties
https://www.agriculture.gov.au/agriculture-land/farm-food-drought/levies/rates/almonds
</t>
        </r>
      </text>
    </comment>
    <comment ref="AQ4" authorId="1" shapeId="0" xr:uid="{00000000-0006-0000-0300-000001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labour.</t>
        </r>
      </text>
    </comment>
    <comment ref="AE5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pesticides, herbicides and other chemicals applications, harvesting, fertilising and pruning.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BI2" authorId="0" shapeId="0" xr:uid="{466CFD46-FF42-45B2-8681-2BF02E32E6EE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$0.016 / kilogram
Average of levies for different varieties
https://www.agriculture.gov.au/agriculture-land/farm-food-drought/levies/rates/almonds
</t>
        </r>
      </text>
    </comment>
    <comment ref="AV4" authorId="1" shapeId="0" xr:uid="{00000000-0006-0000-0200-000001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labour.</t>
        </r>
      </text>
    </comment>
    <comment ref="AJ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pesticides, herbicides and other chemicals applications, harvesting, fertilising and pruning.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BB2" authorId="0" shapeId="0" xr:uid="{A04D5512-2F90-4ED1-90EF-F399AAF2047E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$0.01 / kilogram
https://www.agriculture.gov.au/agriculture-land/farm-food-drought/levies/rates/table-grapes
</t>
        </r>
      </text>
    </comment>
    <comment ref="AX4" authorId="1" shapeId="0" xr:uid="{00000000-0006-0000-0500-000001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 (hand), leaf and crop removal, desucker/disbud, wire lifting/dropping, netting.</t>
        </r>
      </text>
    </comment>
    <comment ref="AG5" authorId="1" shapeId="0" xr:uid="{00000000-0006-0000-0500-000003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 and herbicides applications, fertilising, pre pruning and trimming.</t>
        </r>
      </text>
    </comment>
    <comment ref="AS5" authorId="1" shapeId="0" xr:uid="{00000000-0006-0000-0500-000004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P &amp; D Monitoring and Trellis manteinance.</t>
        </r>
      </text>
    </comment>
    <comment ref="BK5" authorId="0" shapeId="0" xr:uid="{2A48A410-8E22-444E-AB00-7FE16EB04F10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Other option Labour Costs? 
https://tradingeconomics.com/australia/labour-costs</t>
        </r>
      </text>
    </comment>
    <comment ref="B7" authorId="0" shapeId="0" xr:uid="{08026C8E-B468-4C4C-923B-153EE14E3E2D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Price/Yield 2021 ABARES
</t>
        </r>
      </text>
    </comment>
    <comment ref="E7" authorId="0" shapeId="0" xr:uid="{49AAB952-90EA-4405-A470-96FCBB6C1DD6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AGCDCASGS202021 Ag commodities, ABS
Australia yield
</t>
        </r>
      </text>
    </comment>
    <comment ref="F7" authorId="0" shapeId="0" xr:uid="{CA6B21A4-D90F-4C25-8035-7EC111DD8C08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AGCDCASGS202021 Ag commodities, ABS
Vic yield</t>
        </r>
      </text>
    </comment>
    <comment ref="BJ7" authorId="0" shapeId="0" xr:uid="{0A5D77A1-F635-423E-986B-DF2D70C928FB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CPI - Index number Sep-2022 128.4 reference index 2011-2012=100 ABS spreadsheet</t>
        </r>
      </text>
    </comment>
    <comment ref="BK7" authorId="0" shapeId="0" xr:uid="{0F38024C-4A45-41A4-AC0B-8C6E30F3A5EE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Wage price index Sep-2022 142.1 https://explore.data.abs.gov.au/vis?fs[0]=ABS%20Topics%2C1%7CECONOMY%23ECONOMY%23%7CPrice%20Indexes%20and%20Inflation%23PRICE_INDEX_INFLATION%23&amp;pg=0&amp;fc=ABS%20Topics&amp;df[ds]=ABS_ABS_TOPICS&amp;df[id]=WPI&amp;df[ag]=ABS&amp;df[vs]=1.0.0&amp;pd=2016-Q1%2C2022-Q3&amp;dq=.THRPEB..TOT..AUS.Q&amp;ly[cl]=MEASURE&amp;ly[rw]=TIME_PERIOD&amp;ly[rs]=TSEST%2CSECTOR </t>
        </r>
      </text>
    </comment>
    <comment ref="BL7" authorId="0" shapeId="0" xr:uid="{97AC575A-4BA1-46E7-9C8B-554B1991E9D6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Fuel, ABARES Farm Inputs - 143.56 U/L + %106.94 D )avg 2021</t>
        </r>
      </text>
    </comment>
    <comment ref="BM7" authorId="0" shapeId="0" xr:uid="{0F8BB47E-D270-4F2F-A527-DE141F5DD812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original 2016/17 value from MR
</t>
        </r>
      </text>
    </comment>
    <comment ref="BJ8" authorId="0" shapeId="0" xr:uid="{F5D16370-0C3B-41A5-A5D6-3A996017FF8C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2023, 2024 forecast https://tradingeconomics.com/australia/consumer-price-index-cpi?embed/forecast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BB2" authorId="0" shapeId="0" xr:uid="{F5314D10-070F-48E0-BDDE-0A55C3196B30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$0.01 / kilogram
https://www.agriculture.gov.au/agriculture-land/farm-food-drought/levies/rates/table-grapes
</t>
        </r>
      </text>
    </comment>
    <comment ref="AX4" authorId="1" shapeId="0" xr:uid="{00000000-0006-0000-0700-000001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 (hand), leaf and crop removal, desucker/disbud, wire lifting/dropping, netting.</t>
        </r>
      </text>
    </comment>
    <comment ref="AG5" authorId="1" shapeId="0" xr:uid="{00000000-0006-0000-0700-000003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 and herbicides applications, fertilising, pre pruning and trimming.</t>
        </r>
      </text>
    </comment>
    <comment ref="AS5" authorId="1" shapeId="0" xr:uid="{00000000-0006-0000-0700-000004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P &amp; D Monitoring and Trellis manteinance.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BC2" authorId="0" shapeId="0" xr:uid="{60352497-FEB8-4C0E-8261-6B1066F7E68C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$0.01 / kilogram
https://www.agriculture.gov.au/agriculture-land/farm-food-drought/levies/rates/table-grapes
</t>
        </r>
      </text>
    </comment>
    <comment ref="AY4" authorId="1" shapeId="0" xr:uid="{00000000-0006-0000-0600-000001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 (hand), leaf and crop removal, desucker/disbud, wire lifting/dropping, netting.</t>
        </r>
      </text>
    </comment>
    <comment ref="AH5" authorId="1" shapeId="0" xr:uid="{00000000-0006-0000-0600-000003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 and herbicides applications, fertilising, pre pruning and trimming.</t>
        </r>
      </text>
    </comment>
    <comment ref="AT5" authorId="1" shapeId="0" xr:uid="{00000000-0006-0000-0600-000004000000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P &amp; D Monitoring and Trellis manteinance.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E1" authorId="0" shapeId="0" xr:uid="{941E9F7A-6C49-4CD2-9305-23720F5AE831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Area (ha) from tree census https://citrusaustralia.com.au/wp-content/uploads/CA_Tree-Census_Brochure_210x210_2020_FINAL.pdf
</t>
        </r>
      </text>
    </comment>
    <comment ref="AW2" authorId="0" shapeId="0" xr:uid="{21691541-9924-4B49-AA26-880B4B2EFC5D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$4.93/t average of orange and other bulk
https://www.agriculture.gov.au/agriculture-land/farm-food-drought/levies/rates/citrus
</t>
        </r>
      </text>
    </comment>
    <comment ref="AP4" authorId="1" shapeId="0" xr:uid="{3AC6372A-CB06-45B0-8EF6-DF40DC79F3F9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Leaf analysis, pest monitoring, sod seed and crop sprays
</t>
        </r>
      </text>
    </comment>
    <comment ref="AS4" authorId="1" shapeId="0" xr:uid="{2B51DB05-DF5F-42B3-95C1-817C4FA3E622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hand pruning, topping and skirting, hedging, crop management, mechancical skirting
</t>
        </r>
      </text>
    </comment>
    <comment ref="AD5" authorId="1" shapeId="0" xr:uid="{408F279E-3F57-47D0-BCFD-FB8E8DEBE059}">
      <text>
        <r>
          <rPr>
            <b/>
            <sz val="9"/>
            <color indexed="81"/>
            <rFont val="Tahoma"/>
            <family val="2"/>
          </rPr>
          <t xml:space="preserve">Madeleine:
</t>
        </r>
        <r>
          <rPr>
            <sz val="9"/>
            <color indexed="81"/>
            <rFont val="Tahoma"/>
            <family val="2"/>
          </rPr>
          <t xml:space="preserve">Tractor and machinery):
Sod mowing, check emitters, herbicide rows, spot spray, ground fertilise, fertigation, bait spray, trap monitoring, mulching, sod sowing
</t>
        </r>
      </text>
    </comment>
    <comment ref="AM5" authorId="0" shapeId="0" xr:uid="{376412DF-6295-4C28-9FE3-0DF8714C1DF3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Contract harvest
</t>
        </r>
      </text>
    </comment>
    <comment ref="BF5" authorId="0" shapeId="0" xr:uid="{A6EFC45E-E360-47F7-88A1-D56CBF68A3AF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Other option Labour Costs? 
https://tradingeconomics.com/australia/labour-costs</t>
        </r>
      </text>
    </comment>
    <comment ref="BE7" authorId="0" shapeId="0" xr:uid="{C42B8796-AD5F-40DE-8331-C7591A09D6E5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CPI - Index number Sep-2022 128.4 reference index 2011-2012=100 ABS spreadsheet</t>
        </r>
      </text>
    </comment>
    <comment ref="BF7" authorId="0" shapeId="0" xr:uid="{5197793E-EE62-475F-AD7C-68EA66581ED8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Wage price index Sep-2022 142.1 https://explore.data.abs.gov.au/vis?fs[0]=ABS%20Topics%2C1%7CECONOMY%23ECONOMY%23%7CPrice%20Indexes%20and%20Inflation%23PRICE_INDEX_INFLATION%23&amp;pg=0&amp;fc=ABS%20Topics&amp;df[ds]=ABS_ABS_TOPICS&amp;df[id]=WPI&amp;df[ag]=ABS&amp;df[vs]=1.0.0&amp;pd=2016-Q1%2C2022-Q3&amp;dq=.THRPEB..TOT..AUS.Q&amp;ly[cl]=MEASURE&amp;ly[rw]=TIME_PERIOD&amp;ly[rs]=TSEST%2CSECTOR </t>
        </r>
      </text>
    </comment>
    <comment ref="BG7" authorId="0" shapeId="0" xr:uid="{34E365DB-7FBE-4E93-A945-C3F7EC1B8052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Fuel, ABARES Farm Inputs - 143.56 U/L + %106.94 D )avg 2021</t>
        </r>
      </text>
    </comment>
    <comment ref="BH7" authorId="0" shapeId="0" xr:uid="{C4253814-78FA-466F-834C-94E1AAF80A63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original 2016/17 value from MR
</t>
        </r>
      </text>
    </comment>
    <comment ref="BE8" authorId="0" shapeId="0" xr:uid="{6470DCA4-04B5-4915-9978-44257AD53F5C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2023, 2024 forecast https://tradingeconomics.com/australia/consumer-price-index-cpi?embed/forecast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G1" authorId="0" shapeId="0" xr:uid="{41561EFF-C288-49A6-B97B-E54F23EF0C94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Area (ha) from tree census https://citrusaustralia.com.au/wp-content/uploads/CA_Tree-Census_Brochure_210x210_2020_FINAL.pdf
</t>
        </r>
      </text>
    </comment>
    <comment ref="AX2" authorId="0" shapeId="0" xr:uid="{D92E2A42-2897-4D39-86CF-37929CD92D02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$4.93/t average of orange and other bulk
https://www.agriculture.gov.au/agriculture-land/farm-food-drought/levies/rates/citrus
</t>
        </r>
      </text>
    </comment>
    <comment ref="AQ4" authorId="1" shapeId="0" xr:uid="{2520FB56-6931-4E0A-BB54-FDB28A9F641B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Leaf analysis, pest monitoring, sod seed and crop sprays
</t>
        </r>
      </text>
    </comment>
    <comment ref="AT4" authorId="1" shapeId="0" xr:uid="{CDA7B01F-5DAE-46FD-9845-15B52D13AC3E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hand pruning, topping and skirting, hedging, crop management, mechancical skirting
</t>
        </r>
      </text>
    </comment>
    <comment ref="AE5" authorId="1" shapeId="0" xr:uid="{8627D5BC-59B4-4CBB-8E01-3703DB1A1781}">
      <text>
        <r>
          <rPr>
            <b/>
            <sz val="9"/>
            <color indexed="81"/>
            <rFont val="Tahoma"/>
            <family val="2"/>
          </rPr>
          <t xml:space="preserve">Madeleine:
</t>
        </r>
        <r>
          <rPr>
            <sz val="9"/>
            <color indexed="81"/>
            <rFont val="Tahoma"/>
            <family val="2"/>
          </rPr>
          <t xml:space="preserve">Tractor and machinery):
Sod mowing, check emitters, herbicide rows, spot spray, ground fertilise, fertigation, bait spray, trap monitoring, mulching, sod sowing
</t>
        </r>
      </text>
    </comment>
    <comment ref="AN5" authorId="0" shapeId="0" xr:uid="{0AAB1B11-7C3B-4950-99C7-ACB27359E19C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Contract harvest
</t>
        </r>
      </text>
    </comment>
    <comment ref="BJ5" authorId="0" shapeId="0" xr:uid="{AAF9D8AF-94B3-4055-8F1E-DAAF5B0ACA74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Other option Labour Costs? 
https://tradingeconomics.com/australia/labour-costs</t>
        </r>
      </text>
    </comment>
    <comment ref="BI7" authorId="0" shapeId="0" xr:uid="{C3B13A1C-57BF-41EB-88FF-2364002F2667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CPI - Index number Sep-2022 128.4 reference index 2011-2012=100 ABS spreadsheet</t>
        </r>
      </text>
    </comment>
    <comment ref="BJ7" authorId="0" shapeId="0" xr:uid="{5C7AB1D4-FE15-40A1-99FF-3B68F8CB05D6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Wage price index Sep-2022 142.1 https://explore.data.abs.gov.au/vis?fs[0]=ABS%20Topics%2C1%7CECONOMY%23ECONOMY%23%7CPrice%20Indexes%20and%20Inflation%23PRICE_INDEX_INFLATION%23&amp;pg=0&amp;fc=ABS%20Topics&amp;df[ds]=ABS_ABS_TOPICS&amp;df[id]=WPI&amp;df[ag]=ABS&amp;df[vs]=1.0.0&amp;pd=2016-Q1%2C2022-Q3&amp;dq=.THRPEB..TOT..AUS.Q&amp;ly[cl]=MEASURE&amp;ly[rw]=TIME_PERIOD&amp;ly[rs]=TSEST%2CSECTOR </t>
        </r>
      </text>
    </comment>
    <comment ref="BK7" authorId="0" shapeId="0" xr:uid="{55405879-214E-4153-B8C7-CC009D07923C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Fuel, ABARES Farm Inputs - 143.56 U/L + %106.94 D )avg 2021</t>
        </r>
      </text>
    </comment>
    <comment ref="BL7" authorId="0" shapeId="0" xr:uid="{73E51077-6FCF-4FA1-AF22-A549469D30C8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original 2016/17 value from MR
</t>
        </r>
      </text>
    </comment>
    <comment ref="BI8" authorId="0" shapeId="0" xr:uid="{6ACC04D4-1B17-4B5E-A58C-6A150BB1B1CF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2023, 2024 forecast https://tradingeconomics.com/australia/consumer-price-index-cpi?embed/forecast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E1" authorId="0" shapeId="0" xr:uid="{830DAA73-7318-436A-901E-944C639D40F9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Area (ha) from tree census https://citrusaustralia.com.au/wp-content/uploads/CA_Tree-Census_Brochure_210x210_2020_FINAL.pdf
</t>
        </r>
      </text>
    </comment>
    <comment ref="AW2" authorId="0" shapeId="0" xr:uid="{AAC2CB37-153C-45D2-B5B9-9B8B8F7B2437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$4.93/t average of orange and other bulk
https://www.agriculture.gov.au/agriculture-land/farm-food-drought/levies/rates/citrus
</t>
        </r>
      </text>
    </comment>
    <comment ref="AP4" authorId="1" shapeId="0" xr:uid="{94E42678-B21F-475C-9F8C-0431F20651CB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Leaf analysis, pest monitoring, sod seed and crop sprays
</t>
        </r>
      </text>
    </comment>
    <comment ref="AS4" authorId="1" shapeId="0" xr:uid="{E1C74737-88CC-439E-97E8-30F808FF6F79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Hand pruning, mechnaical topping, hedging
</t>
        </r>
      </text>
    </comment>
    <comment ref="AD5" authorId="1" shapeId="0" xr:uid="{AA5067A9-1688-4AB5-B401-8A265A67B67A}">
      <text>
        <r>
          <rPr>
            <b/>
            <sz val="9"/>
            <color indexed="81"/>
            <rFont val="Tahoma"/>
            <family val="2"/>
          </rPr>
          <t xml:space="preserve">Madeleine:
</t>
        </r>
        <r>
          <rPr>
            <sz val="9"/>
            <color indexed="81"/>
            <rFont val="Tahoma"/>
            <family val="2"/>
          </rPr>
          <t xml:space="preserve">Tractor and machinery):
Sod mowing, check emitters, herbicide rows, spot spray, ground fertilise, fertigation, bait spray, trap monitoring, mulching, sod sowing
</t>
        </r>
      </text>
    </comment>
    <comment ref="AM5" authorId="0" shapeId="0" xr:uid="{8E606719-CB5D-4C7E-B69F-1C10554F3F54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Contract harvest
plus hand fruit thining
</t>
        </r>
      </text>
    </comment>
    <comment ref="BF5" authorId="0" shapeId="0" xr:uid="{23EDFB19-2D03-4AEB-93B1-A88F7B6C5DC8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Other option Labour Costs? 
https://tradingeconomics.com/australia/labour-costs</t>
        </r>
      </text>
    </comment>
    <comment ref="BE7" authorId="0" shapeId="0" xr:uid="{C08A360E-D2C4-4222-A268-11D9324A963F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CPI - Index number Sep-2022 128.4 reference index 2011-2012=100 ABS spreadsheet</t>
        </r>
      </text>
    </comment>
    <comment ref="BF7" authorId="0" shapeId="0" xr:uid="{15C0BFC3-6563-4FE3-8346-7A5FE8BF5BEF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Wage price index Sep-2022 142.1 https://explore.data.abs.gov.au/vis?fs[0]=ABS%20Topics%2C1%7CECONOMY%23ECONOMY%23%7CPrice%20Indexes%20and%20Inflation%23PRICE_INDEX_INFLATION%23&amp;pg=0&amp;fc=ABS%20Topics&amp;df[ds]=ABS_ABS_TOPICS&amp;df[id]=WPI&amp;df[ag]=ABS&amp;df[vs]=1.0.0&amp;pd=2016-Q1%2C2022-Q3&amp;dq=.THRPEB..TOT..AUS.Q&amp;ly[cl]=MEASURE&amp;ly[rw]=TIME_PERIOD&amp;ly[rs]=TSEST%2CSECTOR </t>
        </r>
      </text>
    </comment>
    <comment ref="BG7" authorId="0" shapeId="0" xr:uid="{095F6F6A-64CC-4AC7-B5FA-4621A336257C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Fuel, ABARES Farm Inputs - 143.56 U/L + %106.94 D )avg 2021</t>
        </r>
      </text>
    </comment>
    <comment ref="BH7" authorId="0" shapeId="0" xr:uid="{43D49ECB-D913-4F65-9114-07E2D47940E9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original 2016/17 value from MR
</t>
        </r>
      </text>
    </comment>
    <comment ref="BE8" authorId="0" shapeId="0" xr:uid="{E86B7633-AD5E-4C6C-AF4E-6D17E478561F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2023, 2024 forecast https://tradingeconomics.com/australia/consumer-price-index-cpi?embed/forecast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AW2" authorId="0" shapeId="0" xr:uid="{2EC07147-C795-4184-AF54-79BF0424F5E3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$4.93/t average of orange and other bulk
https://www.agriculture.gov.au/agriculture-land/farm-food-drought/levies/rates/citrus
</t>
        </r>
      </text>
    </comment>
    <comment ref="AP4" authorId="1" shapeId="0" xr:uid="{8CB94809-00F9-438E-9FB4-53B994EB6FA2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Leaf analysis, pest monitoring, sod seed and crop sprays
</t>
        </r>
      </text>
    </comment>
    <comment ref="AS4" authorId="1" shapeId="0" xr:uid="{BC19B5D2-4CE5-4F67-8A60-D12917D1C5CC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Hand pruning, mechnaical topping, hedging
</t>
        </r>
      </text>
    </comment>
    <comment ref="AD5" authorId="1" shapeId="0" xr:uid="{58D204FB-6163-4906-AB12-CE13971B778F}">
      <text>
        <r>
          <rPr>
            <b/>
            <sz val="9"/>
            <color indexed="81"/>
            <rFont val="Tahoma"/>
            <family val="2"/>
          </rPr>
          <t xml:space="preserve">Madeleine:
</t>
        </r>
        <r>
          <rPr>
            <sz val="9"/>
            <color indexed="81"/>
            <rFont val="Tahoma"/>
            <family val="2"/>
          </rPr>
          <t xml:space="preserve">Tractor and machinery):
Sod mowing, check emitters, herbicide rows, spot spray, ground fertilise, fertigation, bait spray, trap monitoring, mulching, sod sowing
</t>
        </r>
      </text>
    </comment>
    <comment ref="AM5" authorId="0" shapeId="0" xr:uid="{A1E14492-C266-423E-982A-5B72887F5D03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Contract harvest
plus hand fruit thining
</t>
        </r>
      </text>
    </comment>
    <comment ref="BI5" authorId="0" shapeId="0" xr:uid="{88EDD690-E8A0-4AA8-804A-64BCEA82A13E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Other option Labour Costs? 
https://tradingeconomics.com/australia/labour-costs</t>
        </r>
      </text>
    </comment>
    <comment ref="BH7" authorId="0" shapeId="0" xr:uid="{B0DC298A-DE02-4F1E-ACE9-7040179B11BD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CPI - Index number Sep-2022 128.4 reference index 2011-2012=100 ABS spreadsheet</t>
        </r>
      </text>
    </comment>
    <comment ref="BI7" authorId="0" shapeId="0" xr:uid="{856A3A18-1020-4CF2-B1DF-6FFCD962C48B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Wage price index Sep-2022 142.1 https://explore.data.abs.gov.au/vis?fs[0]=ABS%20Topics%2C1%7CECONOMY%23ECONOMY%23%7CPrice%20Indexes%20and%20Inflation%23PRICE_INDEX_INFLATION%23&amp;pg=0&amp;fc=ABS%20Topics&amp;df[ds]=ABS_ABS_TOPICS&amp;df[id]=WPI&amp;df[ag]=ABS&amp;df[vs]=1.0.0&amp;pd=2016-Q1%2C2022-Q3&amp;dq=.THRPEB..TOT..AUS.Q&amp;ly[cl]=MEASURE&amp;ly[rw]=TIME_PERIOD&amp;ly[rs]=TSEST%2CSECTOR </t>
        </r>
      </text>
    </comment>
    <comment ref="BJ7" authorId="0" shapeId="0" xr:uid="{6833B75C-9FB6-4A4A-B413-7276EE29A7C1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** Fuel, ABARES Farm Inputs - 143.56 U/L + %106.94 D )avg 2021</t>
        </r>
      </text>
    </comment>
    <comment ref="BK7" authorId="0" shapeId="0" xr:uid="{1A190657-DC86-4634-88EA-36B7750674F7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original 2016/17 value from MR
</t>
        </r>
      </text>
    </comment>
    <comment ref="BH8" authorId="0" shapeId="0" xr:uid="{7F293B34-5273-4580-BEB4-D1ADCFCAE9F9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2023, 2024 forecast https://tradingeconomics.com/australia/consumer-price-index-cpi?embed/forecast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Madeleine Johnson</author>
    <author>Magda Borges</author>
  </authors>
  <commentList>
    <comment ref="BB2" authorId="0" shapeId="0" xr:uid="{3FAE845F-989B-4EAD-A6AE-8A873551E21F}">
      <text>
        <r>
          <rPr>
            <b/>
            <sz val="9"/>
            <color indexed="81"/>
            <rFont val="Tahoma"/>
            <family val="2"/>
          </rPr>
          <t>Madeleine Johnson:</t>
        </r>
        <r>
          <rPr>
            <sz val="9"/>
            <color indexed="81"/>
            <rFont val="Tahoma"/>
            <family val="2"/>
          </rPr>
          <t xml:space="preserve">
$4.93/t average of orange and other bulk
https://www.agriculture.gov.au/agriculture-land/farm-food-drought/levies/rates/citrus
</t>
        </r>
      </text>
    </comment>
    <comment ref="AX4" authorId="1" shapeId="0" xr:uid="{02E4E88A-B842-40FA-8175-BBB6B314ACDF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Inlcudes pruning labour (hand), leaf and crop removal, desucker/disbud, wire lifting/dropping, netting.</t>
        </r>
      </text>
    </comment>
    <comment ref="AG5" authorId="1" shapeId="0" xr:uid="{5FDFAE5B-64F7-4966-B096-8A87C5A6DD5B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mowing and slashing, pesticides and herbicides applications, fertilising, pre pruning and trimming.</t>
        </r>
      </text>
    </comment>
    <comment ref="AS5" authorId="1" shapeId="0" xr:uid="{3932FFE9-C893-4DA7-9D6F-E7089F4F53DB}">
      <text>
        <r>
          <rPr>
            <b/>
            <sz val="9"/>
            <color indexed="81"/>
            <rFont val="Tahoma"/>
            <family val="2"/>
          </rPr>
          <t>Magda Borges:</t>
        </r>
        <r>
          <rPr>
            <sz val="9"/>
            <color indexed="81"/>
            <rFont val="Tahoma"/>
            <family val="2"/>
          </rPr>
          <t xml:space="preserve">
Includes P &amp; D Monitoring and Trellis manteinance.</t>
        </r>
      </text>
    </comment>
  </commentList>
</comments>
</file>

<file path=xl/sharedStrings.xml><?xml version="1.0" encoding="utf-8"?>
<sst xmlns="http://schemas.openxmlformats.org/spreadsheetml/2006/main" count="1320" uniqueCount="216">
  <si>
    <t>Incomes</t>
  </si>
  <si>
    <t>Costs</t>
  </si>
  <si>
    <t>Margin</t>
  </si>
  <si>
    <t>Break even yield</t>
  </si>
  <si>
    <t>Other Prices</t>
  </si>
  <si>
    <t>Based on CPI increase 3.2%</t>
  </si>
  <si>
    <t>Price $/ton</t>
  </si>
  <si>
    <t>Price $/kg</t>
  </si>
  <si>
    <t>Yield ton/ha</t>
  </si>
  <si>
    <t>GROSS INCOME $/ha</t>
  </si>
  <si>
    <t>Fertiliser</t>
  </si>
  <si>
    <t>Herbicides</t>
  </si>
  <si>
    <t>Insecticides</t>
  </si>
  <si>
    <t>Fungicides</t>
  </si>
  <si>
    <t>Other chemicals</t>
  </si>
  <si>
    <t>Freight</t>
  </si>
  <si>
    <t>Operations</t>
  </si>
  <si>
    <t>Irrigation</t>
  </si>
  <si>
    <t>Crop Load Management</t>
  </si>
  <si>
    <t>Canopy management</t>
  </si>
  <si>
    <t>Harvesting labour</t>
  </si>
  <si>
    <t>Contract grading &amp; packing</t>
  </si>
  <si>
    <t>Packing materials</t>
  </si>
  <si>
    <t>Levies</t>
  </si>
  <si>
    <t>Commission</t>
  </si>
  <si>
    <t>TOTAL COSTS</t>
  </si>
  <si>
    <t>Rate (kg)/ ha</t>
  </si>
  <si>
    <t>Unit price per Kg</t>
  </si>
  <si>
    <t>Total cost $ / ha</t>
  </si>
  <si>
    <t># Applications</t>
  </si>
  <si>
    <t>Unit price per appl.</t>
  </si>
  <si>
    <r>
      <t xml:space="preserve">Unit price per </t>
    </r>
    <r>
      <rPr>
        <b/>
        <sz val="11"/>
        <color rgb="FFC00000"/>
        <rFont val="Calibri"/>
        <family val="2"/>
        <scheme val="minor"/>
      </rPr>
      <t>kg</t>
    </r>
    <r>
      <rPr>
        <sz val="11"/>
        <rFont val="Calibri"/>
        <family val="2"/>
        <scheme val="minor"/>
      </rPr>
      <t xml:space="preserve"> - fruit</t>
    </r>
  </si>
  <si>
    <t>Rate (ML) / ha</t>
  </si>
  <si>
    <t>Unit price</t>
  </si>
  <si>
    <t>Rate (hives) / ha</t>
  </si>
  <si>
    <t>Rate (hs) / ha</t>
  </si>
  <si>
    <t>On gross income</t>
  </si>
  <si>
    <t>$ / ha</t>
  </si>
  <si>
    <t>ton / ha</t>
  </si>
  <si>
    <t>CPI</t>
  </si>
  <si>
    <t>Salaries</t>
  </si>
  <si>
    <t>Fuel</t>
  </si>
  <si>
    <t>$0.016 / kg</t>
  </si>
  <si>
    <t>Index 2011/12=100</t>
  </si>
  <si>
    <t>us energy projection agency</t>
  </si>
  <si>
    <t>CHERRIES</t>
  </si>
  <si>
    <t>source</t>
  </si>
  <si>
    <t>Price</t>
  </si>
  <si>
    <t>Yield</t>
  </si>
  <si>
    <t>GROSS INCOME</t>
  </si>
  <si>
    <t>National average</t>
  </si>
  <si>
    <t>Macedon R.</t>
  </si>
  <si>
    <t>Unit price per kg - fruit</t>
  </si>
  <si>
    <t>Others</t>
  </si>
  <si>
    <t>Kg / ha</t>
  </si>
  <si>
    <t xml:space="preserve"> $/kg</t>
  </si>
  <si>
    <t>kg / ha</t>
  </si>
  <si>
    <t>ministry of finance /central bank</t>
  </si>
  <si>
    <t>Almonds</t>
  </si>
  <si>
    <t>Margin Alternative $/ha</t>
  </si>
  <si>
    <t>Break even yield Alternative Kg/ha</t>
  </si>
  <si>
    <t>Price Alternative  $/ton</t>
  </si>
  <si>
    <t>Price Alternative  $/kg</t>
  </si>
  <si>
    <t>Yield         ton/ha</t>
  </si>
  <si>
    <t>Yield Alternative ton/ha</t>
  </si>
  <si>
    <t xml:space="preserve">GROSS INCOME </t>
  </si>
  <si>
    <t>Total Cost Increase</t>
  </si>
  <si>
    <t>TOTAL COSTS Alternative $/ha</t>
  </si>
  <si>
    <t>Baseline</t>
  </si>
  <si>
    <t>Alternative</t>
  </si>
  <si>
    <t xml:space="preserve"> $/ton</t>
  </si>
  <si>
    <t>GRAPES</t>
  </si>
  <si>
    <t>Labour</t>
  </si>
  <si>
    <t>Mallee average</t>
  </si>
  <si>
    <t>National av.</t>
  </si>
  <si>
    <t>Mallee av.</t>
  </si>
  <si>
    <t>Unit price per ton - fruit</t>
  </si>
  <si>
    <t>Harvest</t>
  </si>
  <si>
    <t>$ / ton</t>
  </si>
  <si>
    <t>Rate (t) / ha</t>
  </si>
  <si>
    <t>$10 / ton</t>
  </si>
  <si>
    <t>Index 2011/12 = 100</t>
  </si>
  <si>
    <t>Yield     ton/ha</t>
  </si>
  <si>
    <t>Yield        kg/ha</t>
  </si>
  <si>
    <t>Price_Alternative $/ton</t>
  </si>
  <si>
    <t>Price_Alternative $/kg</t>
  </si>
  <si>
    <t>Alternative_Unit price per Kg</t>
  </si>
  <si>
    <t>CITRUS</t>
  </si>
  <si>
    <t>Crop Management</t>
  </si>
  <si>
    <t>Unit price (t/ha)</t>
  </si>
  <si>
    <t>Fixed Cost Levy</t>
  </si>
  <si>
    <t>Rate 
(hs) / ha</t>
  </si>
  <si>
    <t>Total cost 
$ / ha</t>
  </si>
  <si>
    <r>
      <t xml:space="preserve">$5.30 / </t>
    </r>
    <r>
      <rPr>
        <b/>
        <sz val="11"/>
        <color rgb="FFC00000"/>
        <rFont val="Calibri"/>
        <family val="2"/>
        <scheme val="minor"/>
      </rPr>
      <t>ton</t>
    </r>
  </si>
  <si>
    <t>Alternative Price</t>
  </si>
  <si>
    <t>Alternative_Yield ton/ha</t>
  </si>
  <si>
    <t>Total Cost Increase $/ha</t>
  </si>
  <si>
    <t>$/ha</t>
  </si>
  <si>
    <t>Applications</t>
  </si>
  <si>
    <t>Unit price per application</t>
  </si>
  <si>
    <r>
      <t xml:space="preserve">$4.55 / </t>
    </r>
    <r>
      <rPr>
        <b/>
        <sz val="11"/>
        <color rgb="FFC00000"/>
        <rFont val="Calibri"/>
        <family val="2"/>
        <scheme val="minor"/>
      </rPr>
      <t>ton</t>
    </r>
  </si>
  <si>
    <t>Price per KG</t>
  </si>
  <si>
    <t>TOTAL COSTS_alternative</t>
  </si>
  <si>
    <t>Lower Alt</t>
  </si>
  <si>
    <t xml:space="preserve">Lower Alt </t>
  </si>
  <si>
    <t>Baselin</t>
  </si>
  <si>
    <t>ALMONDS</t>
  </si>
  <si>
    <t>Oranges</t>
  </si>
  <si>
    <t>Cost Category</t>
  </si>
  <si>
    <t>Unit</t>
  </si>
  <si>
    <t>Canopy Management</t>
  </si>
  <si>
    <t>Total Cost</t>
  </si>
  <si>
    <t>Cash Flow</t>
  </si>
  <si>
    <t xml:space="preserve">Category </t>
  </si>
  <si>
    <t>Gross Income</t>
  </si>
  <si>
    <t xml:space="preserve">Total Cost </t>
  </si>
  <si>
    <t>Mandarins</t>
  </si>
  <si>
    <t>$4.93 / ton</t>
  </si>
  <si>
    <t>ORANGES</t>
  </si>
  <si>
    <t>BASELINE SCENARIO</t>
  </si>
  <si>
    <t>ALTERNATIVE SCENARIO</t>
  </si>
  <si>
    <t>ALTERNATIVE EXCHANGE RATE SCENARIO</t>
  </si>
  <si>
    <t>ALTERNATIVE  SCENARIO</t>
  </si>
  <si>
    <t>Margins</t>
  </si>
  <si>
    <t>Break even Yield</t>
  </si>
  <si>
    <t>Price_Alternative</t>
  </si>
  <si>
    <t>Price_Alternative ($/kg)</t>
  </si>
  <si>
    <t>Gross Income_Alternative</t>
  </si>
  <si>
    <t>Costs_Alternative</t>
  </si>
  <si>
    <t>Margins_Alternative</t>
  </si>
  <si>
    <t>Break even yield _Alternative</t>
  </si>
  <si>
    <t>Costs_lo</t>
  </si>
  <si>
    <t>Yield_Alternative</t>
  </si>
  <si>
    <t>Cost_Alternative</t>
  </si>
  <si>
    <t>Margin_Alternative</t>
  </si>
  <si>
    <t>Break even Yield_Alternative</t>
  </si>
  <si>
    <t>Price Alternative</t>
  </si>
  <si>
    <t>Yield Alternative</t>
  </si>
  <si>
    <t xml:space="preserve">Mallee Agricultural decision tool </t>
  </si>
  <si>
    <t xml:space="preserve">Commodities included in the tool </t>
  </si>
  <si>
    <t>What is the tool</t>
  </si>
  <si>
    <t xml:space="preserve">this tool aims to assist agronomist and farmers to undertstand current and future profitability of commodities. With the ability for users to </t>
  </si>
  <si>
    <t xml:space="preserve">Grapes </t>
  </si>
  <si>
    <t xml:space="preserve">Oranges </t>
  </si>
  <si>
    <t>Forecasted Values</t>
  </si>
  <si>
    <t xml:space="preserve">           ALMONDS</t>
  </si>
  <si>
    <t>INPUT VARIABLES</t>
  </si>
  <si>
    <t>Total ($)
As at 2021</t>
  </si>
  <si>
    <t>Total almonds per ha</t>
  </si>
  <si>
    <t>Tonne</t>
  </si>
  <si>
    <t>kg</t>
  </si>
  <si>
    <t>Ml</t>
  </si>
  <si>
    <t>Other Costs (Constant)</t>
  </si>
  <si>
    <t>Add % for cost adjustment</t>
  </si>
  <si>
    <t>%</t>
  </si>
  <si>
    <t>Break Even Yield                       Ton/ha</t>
  </si>
  <si>
    <t xml:space="preserve">           GRAPES</t>
  </si>
  <si>
    <t xml:space="preserve">           ORANGES</t>
  </si>
  <si>
    <t xml:space="preserve">           Mandarins</t>
  </si>
  <si>
    <t>COMPILED RESULTS - Margins ($/ha)</t>
  </si>
  <si>
    <t>Graph References</t>
  </si>
  <si>
    <t>Citrus</t>
  </si>
  <si>
    <t>Grapes</t>
  </si>
  <si>
    <t>Margin - $/ha - Current prices</t>
  </si>
  <si>
    <t>ALMOND | Margin 2016/17 - $/ha</t>
  </si>
  <si>
    <t>GRAPES | Margin 2016/17 - $/ha</t>
  </si>
  <si>
    <t>CIRTUS | Margin 2016/17 - $/ha</t>
  </si>
  <si>
    <t>VARIABLE</t>
  </si>
  <si>
    <t>UNIT</t>
  </si>
  <si>
    <t>VALUE</t>
  </si>
  <si>
    <t>Ton / ha</t>
  </si>
  <si>
    <t>INCOME</t>
  </si>
  <si>
    <t>Other Chemicals</t>
  </si>
  <si>
    <r>
      <t xml:space="preserve">Contracts </t>
    </r>
    <r>
      <rPr>
        <sz val="9"/>
        <color theme="1"/>
        <rFont val="Calibri"/>
        <family val="2"/>
        <scheme val="minor"/>
      </rPr>
      <t>(1)</t>
    </r>
  </si>
  <si>
    <t>Harvest (hand)</t>
  </si>
  <si>
    <t>Crop load management</t>
  </si>
  <si>
    <r>
      <t xml:space="preserve">Labour </t>
    </r>
    <r>
      <rPr>
        <sz val="9"/>
        <color theme="1"/>
        <rFont val="Calibri"/>
        <family val="2"/>
        <scheme val="minor"/>
      </rPr>
      <t>(2)</t>
    </r>
  </si>
  <si>
    <t>Canopy management (3)</t>
  </si>
  <si>
    <r>
      <t xml:space="preserve">Contract grading &amp; packing </t>
    </r>
    <r>
      <rPr>
        <sz val="9"/>
        <color theme="1"/>
        <rFont val="Calibri"/>
        <family val="2"/>
        <scheme val="minor"/>
      </rPr>
      <t>(2)</t>
    </r>
  </si>
  <si>
    <t>COSTS</t>
  </si>
  <si>
    <t>Levies and commissions</t>
  </si>
  <si>
    <t>MARGIN</t>
  </si>
  <si>
    <t>Notes: (1) Include mowing and slashing, pesticides and herbicides applications, fertilising, pre pruning and trimming. (2) Includes P &amp; D Monitoring and Trellis manteinance. (3) Includes pruning labour (hand), leaf and crop removal, desucker/disbud, wire Lifting/dropping and netting.</t>
  </si>
  <si>
    <t>Notes: (1) Includes mowing and slashing, pesticides, herbicides and other chemicals applications, harvesting, fertilising and pruning. (2) Also includes packing materials.</t>
  </si>
  <si>
    <t>DATA SOURCES</t>
  </si>
  <si>
    <t>MACROECONOMIC VARIABLES</t>
  </si>
  <si>
    <t>GDP</t>
  </si>
  <si>
    <t>ABARES (Macroeconomic Indicators tables) and RBA (Economic and Financial Statistics)</t>
  </si>
  <si>
    <t>CPI Australia</t>
  </si>
  <si>
    <t>CPI United States</t>
  </si>
  <si>
    <t>BLS (Databases, Tables &amp; Calculators by Subject)</t>
  </si>
  <si>
    <t>Exchange Rate</t>
  </si>
  <si>
    <t>Wages</t>
  </si>
  <si>
    <t>ABS (Wage price index) and ABARES (Rural Wages - Farm Inputs tables)</t>
  </si>
  <si>
    <t>ABARES (Farm Inputs tables) and IMF (Primary Commodity Prices Forecast)</t>
  </si>
  <si>
    <t>Fertiliser &amp; agrochemicals</t>
  </si>
  <si>
    <t>ABARES (Farm Inputs tables) and WB (Commodities Price Forecast)</t>
  </si>
  <si>
    <t>SECTORIAL VARIABLES</t>
  </si>
  <si>
    <t>Yields</t>
  </si>
  <si>
    <t>CeRRF (LSA - Land Suitability Analysis), ABS and Local Consultation</t>
  </si>
  <si>
    <t>Prices</t>
  </si>
  <si>
    <t>FAOSTAT and Local Consultation</t>
  </si>
  <si>
    <t>Department of Primary Industries, Parks, Water and Environment of Tasmania and AK Consultants (Profitability and Gross Margin Analysis)</t>
  </si>
  <si>
    <t>CeRRF (LSA - Land Suitability Analysis), Abares and Local Consultation</t>
  </si>
  <si>
    <t>Wine Australia and Local Consultation</t>
  </si>
  <si>
    <t>VEGETABLES</t>
  </si>
  <si>
    <t>CeRRF (LSA - Land Suitability Analysis) and Abares (Australian vegetable growing farms: an economic survey)</t>
  </si>
  <si>
    <t>Abares (Australian vegetable growing farms: an economic survey)</t>
  </si>
  <si>
    <t>CATTLE (BEEF)</t>
  </si>
  <si>
    <t>MLA and SAGIT, GRDC, PIRSA and Government Of South Australia</t>
  </si>
  <si>
    <t>SAGIT, GRDC, PIRSA and Primary Industries and Regions SA - Government of South Australia (Farm Gross Margin Guide)</t>
  </si>
  <si>
    <t>PASTURES</t>
  </si>
  <si>
    <t>SAGIT, GRDC, PIRSA and Government Of South Australia</t>
  </si>
  <si>
    <t>WHEAT FOR HAY</t>
  </si>
  <si>
    <t>Kilograms</t>
  </si>
  <si>
    <t xml:space="preserve">This is a prototype tool developed by Deakin University through the Victorian Drought &amp; Innovation Research Hub. For any inquiries regarding the research project, please contact Robert Faggian (r.faggian@deakin.edu.au). For questions specifically about the tool, please contact Monique Marais (m.marais@deakin.edu.au).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</si>
</sst>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_-* #,##0.00_-;\-* #,##0.00_-;_-* &quot;-&quot;??_-;_-@_-"/>
    <numFmt numFmtId="165" formatCode="0.0"/>
    <numFmt numFmtId="166" formatCode="#,##0.0"/>
    <numFmt numFmtId="167" formatCode="_-* #,##0_-;\-* #,##0_-;_-* &quot;-&quot;??_-;_-@_-"/>
    <numFmt numFmtId="168" formatCode="0.0%"/>
    <numFmt numFmtId="169" formatCode="#,##0.000"/>
    <numFmt numFmtId="170" formatCode="#,##0.0_);\(#,##0.0\);\-\ \ "/>
    <numFmt numFmtId="171" formatCode="#,##0_);\(#,##0\);\-\ \ "/>
    <numFmt numFmtId="172" formatCode="&quot;$&quot;#,##0_);\(&quot;$&quot;#,##0\);\-\ \ "/>
    <numFmt numFmtId="173" formatCode="#,##0.00_);\(#,##0.00\);\-\ \ "/>
    <numFmt numFmtId="174" formatCode="0.000%"/>
    <numFmt numFmtId="175" formatCode="_-* #,##0.0_-;\-* #,##0.0_-;_-* &quot;-&quot;??_-;_-@_-"/>
    <numFmt numFmtId="176" formatCode="_-* #,##0.000_-;\-* #,##0.000_-;_-* &quot;-&quot;??_-;_-@_-"/>
    <numFmt numFmtId="177" formatCode="_-* #,##0.00000_-;\-* #,##0.00000_-;_-* &quot;-&quot;??_-;_-@_-"/>
    <numFmt numFmtId="178" formatCode="&quot;$&quot;#,##0.00"/>
    <numFmt numFmtId="179" formatCode="&quot;$&quot;#,##0"/>
    <numFmt numFmtId="180" formatCode="#,##0.0000"/>
    <numFmt numFmtId="181" formatCode="#,##0.00000"/>
    <numFmt numFmtId="182" formatCode="#,##0.000000"/>
    <numFmt numFmtId="183" formatCode="0.000"/>
  </numFmts>
  <fonts count="4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0"/>
      <name val="Calibri"/>
      <family val="2"/>
    </font>
    <font>
      <b/>
      <sz val="16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E7E6E6"/>
      <name val="Calibri"/>
      <family val="2"/>
      <scheme val="minor"/>
    </font>
    <font>
      <i/>
      <sz val="9"/>
      <name val="Calibri"/>
      <family val="2"/>
      <scheme val="minor"/>
    </font>
    <font>
      <sz val="8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2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3F4F3"/>
        <bgColor indexed="64"/>
      </patternFill>
    </fill>
  </fills>
  <borders count="27">
    <border>
      <left/>
      <right/>
      <top/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 style="thin">
        <color theme="0" tint="-0.34998626667073579"/>
      </right>
      <top style="thin">
        <color theme="0"/>
      </top>
      <bottom style="thin">
        <color theme="0" tint="-0.34998626667073579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8" tint="-0.499984740745262"/>
      </top>
      <bottom/>
      <diagonal/>
    </border>
    <border>
      <left/>
      <right/>
      <top style="medium">
        <color theme="8" tint="-0.24994659260841701"/>
      </top>
      <bottom/>
      <diagonal/>
    </border>
    <border>
      <left/>
      <right/>
      <top style="medium">
        <color theme="8" tint="-0.24994659260841701"/>
      </top>
      <bottom style="medium">
        <color theme="8" tint="-0.24994659260841701"/>
      </bottom>
      <diagonal/>
    </border>
    <border>
      <left/>
      <right/>
      <top style="thin">
        <color theme="6" tint="0.59996337778862885"/>
      </top>
      <bottom style="thin">
        <color theme="6" tint="0.59996337778862885"/>
      </bottom>
      <diagonal/>
    </border>
    <border>
      <left/>
      <right/>
      <top style="thin">
        <color theme="6" tint="0.59996337778862885"/>
      </top>
      <bottom/>
      <diagonal/>
    </border>
    <border>
      <left/>
      <right/>
      <top/>
      <bottom style="thin">
        <color theme="6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9" tint="-0.499984740745262"/>
      </top>
      <bottom/>
      <diagonal/>
    </border>
    <border>
      <left/>
      <right/>
      <top style="thin">
        <color rgb="FFFFC000"/>
      </top>
      <bottom/>
      <diagonal/>
    </border>
    <border>
      <left/>
      <right/>
      <top/>
      <bottom style="thin">
        <color rgb="FFFFC000"/>
      </bottom>
      <diagonal/>
    </border>
    <border>
      <left/>
      <right/>
      <top style="thin">
        <color theme="5"/>
      </top>
      <bottom/>
      <diagonal/>
    </border>
    <border>
      <left/>
      <right/>
      <top/>
      <bottom style="thin">
        <color theme="5"/>
      </bottom>
      <diagonal/>
    </border>
  </borders>
  <cellStyleXfs count="10">
    <xf numFmtId="0" fontId="0" fillId="0" borderId="0"/>
    <xf numFmtId="9" fontId="3" fillId="0" borderId="0" applyFont="0" applyFill="0" applyBorder="0" applyAlignment="0" applyProtection="0"/>
    <xf numFmtId="0" fontId="7" fillId="9" borderId="2">
      <protection locked="0"/>
    </xf>
    <xf numFmtId="164" fontId="3" fillId="0" borderId="0" applyFont="0" applyFill="0" applyBorder="0" applyAlignment="0" applyProtection="0"/>
    <xf numFmtId="170" fontId="18" fillId="15" borderId="2" applyFont="0" applyFill="0" applyBorder="0" applyAlignment="0" applyProtection="0">
      <alignment vertical="center"/>
    </xf>
    <xf numFmtId="171" fontId="18" fillId="15" borderId="2" applyFont="0" applyFill="0" applyBorder="0" applyAlignment="0" applyProtection="0">
      <alignment vertical="center"/>
    </xf>
    <xf numFmtId="166" fontId="18" fillId="15" borderId="2">
      <alignment vertical="center"/>
    </xf>
    <xf numFmtId="0" fontId="18" fillId="13" borderId="2">
      <alignment vertical="center"/>
    </xf>
    <xf numFmtId="172" fontId="18" fillId="15" borderId="2" applyFont="0" applyFill="0" applyBorder="0" applyAlignment="0" applyProtection="0">
      <alignment vertical="center"/>
    </xf>
    <xf numFmtId="173" fontId="18" fillId="15" borderId="2" applyFont="0" applyFill="0" applyBorder="0" applyAlignment="0" applyProtection="0">
      <alignment vertical="center"/>
    </xf>
  </cellStyleXfs>
  <cellXfs count="30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4" borderId="0" xfId="0" applyFill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/>
    <xf numFmtId="0" fontId="0" fillId="7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4" borderId="0" xfId="0" applyFill="1"/>
    <xf numFmtId="0" fontId="1" fillId="8" borderId="0" xfId="0" applyFont="1" applyFill="1" applyAlignment="1">
      <alignment horizontal="left"/>
    </xf>
    <xf numFmtId="2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1" fillId="1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3" fontId="8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/>
    </xf>
    <xf numFmtId="167" fontId="0" fillId="0" borderId="0" xfId="3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7" fontId="6" fillId="0" borderId="0" xfId="3" applyNumberFormat="1" applyFont="1" applyAlignment="1">
      <alignment horizontal="center"/>
    </xf>
    <xf numFmtId="9" fontId="6" fillId="0" borderId="0" xfId="1" applyFont="1" applyAlignment="1">
      <alignment horizontal="center"/>
    </xf>
    <xf numFmtId="167" fontId="5" fillId="0" borderId="0" xfId="3" applyNumberFormat="1" applyFont="1" applyAlignment="1">
      <alignment horizontal="left"/>
    </xf>
    <xf numFmtId="167" fontId="6" fillId="0" borderId="0" xfId="3" applyNumberFormat="1" applyFont="1" applyAlignment="1">
      <alignment horizontal="left"/>
    </xf>
    <xf numFmtId="0" fontId="0" fillId="3" borderId="0" xfId="0" applyFill="1"/>
    <xf numFmtId="9" fontId="0" fillId="0" borderId="0" xfId="0" applyNumberFormat="1" applyAlignment="1">
      <alignment horizontal="center" vertical="center"/>
    </xf>
    <xf numFmtId="166" fontId="6" fillId="0" borderId="0" xfId="0" applyNumberFormat="1" applyFont="1" applyAlignment="1">
      <alignment horizontal="center"/>
    </xf>
    <xf numFmtId="168" fontId="0" fillId="0" borderId="0" xfId="1" applyNumberFormat="1" applyFont="1"/>
    <xf numFmtId="167" fontId="0" fillId="0" borderId="0" xfId="3" applyNumberFormat="1" applyFont="1" applyAlignment="1">
      <alignment vertical="center"/>
    </xf>
    <xf numFmtId="9" fontId="0" fillId="0" borderId="0" xfId="1" applyFont="1" applyAlignment="1">
      <alignment horizontal="center"/>
    </xf>
    <xf numFmtId="0" fontId="0" fillId="3" borderId="0" xfId="0" applyFill="1" applyAlignment="1">
      <alignment horizontal="center"/>
    </xf>
    <xf numFmtId="0" fontId="1" fillId="6" borderId="0" xfId="0" applyFont="1" applyFill="1"/>
    <xf numFmtId="0" fontId="10" fillId="0" borderId="0" xfId="0" applyFont="1"/>
    <xf numFmtId="166" fontId="4" fillId="0" borderId="0" xfId="0" applyNumberFormat="1" applyFont="1" applyAlignment="1">
      <alignment horizontal="center"/>
    </xf>
    <xf numFmtId="0" fontId="4" fillId="0" borderId="0" xfId="0" applyFont="1"/>
    <xf numFmtId="167" fontId="4" fillId="0" borderId="0" xfId="3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2" fillId="0" borderId="0" xfId="0" applyFont="1"/>
    <xf numFmtId="0" fontId="1" fillId="0" borderId="0" xfId="0" applyFont="1"/>
    <xf numFmtId="0" fontId="0" fillId="0" borderId="4" xfId="0" applyBorder="1"/>
    <xf numFmtId="0" fontId="13" fillId="0" borderId="0" xfId="0" applyFont="1"/>
    <xf numFmtId="0" fontId="1" fillId="2" borderId="0" xfId="0" applyFont="1" applyFill="1" applyAlignment="1">
      <alignment horizontal="left"/>
    </xf>
    <xf numFmtId="165" fontId="5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69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center"/>
    </xf>
    <xf numFmtId="166" fontId="16" fillId="0" borderId="0" xfId="0" applyNumberFormat="1" applyFont="1" applyAlignment="1">
      <alignment horizontal="center"/>
    </xf>
    <xf numFmtId="167" fontId="16" fillId="0" borderId="0" xfId="3" applyNumberFormat="1" applyFont="1" applyAlignment="1">
      <alignment vertical="center"/>
    </xf>
    <xf numFmtId="167" fontId="16" fillId="0" borderId="0" xfId="3" applyNumberFormat="1" applyFont="1" applyAlignment="1">
      <alignment horizontal="center"/>
    </xf>
    <xf numFmtId="9" fontId="0" fillId="0" borderId="0" xfId="1" applyFont="1"/>
    <xf numFmtId="167" fontId="6" fillId="0" borderId="0" xfId="3" applyNumberFormat="1" applyFont="1" applyAlignment="1">
      <alignment vertical="center"/>
    </xf>
    <xf numFmtId="0" fontId="0" fillId="5" borderId="0" xfId="0" applyFill="1"/>
    <xf numFmtId="167" fontId="6" fillId="0" borderId="0" xfId="0" applyNumberFormat="1" applyFont="1"/>
    <xf numFmtId="0" fontId="19" fillId="16" borderId="6" xfId="0" applyFont="1" applyFill="1" applyBorder="1"/>
    <xf numFmtId="0" fontId="9" fillId="16" borderId="6" xfId="0" applyFont="1" applyFill="1" applyBorder="1"/>
    <xf numFmtId="167" fontId="4" fillId="0" borderId="0" xfId="3" applyNumberFormat="1" applyFont="1" applyAlignment="1">
      <alignment horizontal="left"/>
    </xf>
    <xf numFmtId="0" fontId="0" fillId="8" borderId="0" xfId="0" applyFill="1"/>
    <xf numFmtId="0" fontId="0" fillId="14" borderId="0" xfId="0" applyFill="1"/>
    <xf numFmtId="0" fontId="0" fillId="17" borderId="0" xfId="0" applyFill="1"/>
    <xf numFmtId="174" fontId="6" fillId="0" borderId="0" xfId="1" applyNumberFormat="1" applyFont="1" applyAlignment="1">
      <alignment horizontal="center"/>
    </xf>
    <xf numFmtId="0" fontId="0" fillId="0" borderId="7" xfId="0" applyBorder="1"/>
    <xf numFmtId="165" fontId="0" fillId="0" borderId="7" xfId="0" applyNumberFormat="1" applyBorder="1" applyAlignment="1">
      <alignment horizontal="center"/>
    </xf>
    <xf numFmtId="3" fontId="0" fillId="0" borderId="8" xfId="3" applyNumberFormat="1" applyFont="1" applyBorder="1" applyAlignment="1">
      <alignment horizontal="center"/>
    </xf>
    <xf numFmtId="0" fontId="0" fillId="0" borderId="9" xfId="0" applyBorder="1"/>
    <xf numFmtId="0" fontId="2" fillId="5" borderId="0" xfId="0" applyFont="1" applyFill="1"/>
    <xf numFmtId="0" fontId="2" fillId="14" borderId="7" xfId="0" applyFont="1" applyFill="1" applyBorder="1"/>
    <xf numFmtId="0" fontId="0" fillId="14" borderId="7" xfId="0" applyFill="1" applyBorder="1"/>
    <xf numFmtId="0" fontId="0" fillId="0" borderId="8" xfId="0" applyBorder="1"/>
    <xf numFmtId="3" fontId="2" fillId="5" borderId="0" xfId="3" applyNumberFormat="1" applyFont="1" applyFill="1" applyAlignment="1">
      <alignment horizontal="center"/>
    </xf>
    <xf numFmtId="3" fontId="2" fillId="14" borderId="7" xfId="3" applyNumberFormat="1" applyFont="1" applyFill="1" applyBorder="1" applyAlignment="1">
      <alignment horizontal="center"/>
    </xf>
    <xf numFmtId="0" fontId="20" fillId="14" borderId="0" xfId="0" applyFont="1" applyFill="1"/>
    <xf numFmtId="0" fontId="20" fillId="14" borderId="0" xfId="0" applyFont="1" applyFill="1" applyAlignment="1">
      <alignment horizont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vertical="center"/>
    </xf>
    <xf numFmtId="3" fontId="0" fillId="0" borderId="8" xfId="3" applyNumberFormat="1" applyFont="1" applyBorder="1" applyAlignment="1">
      <alignment horizontal="center" vertical="center"/>
    </xf>
    <xf numFmtId="3" fontId="0" fillId="0" borderId="7" xfId="3" applyNumberFormat="1" applyFont="1" applyBorder="1" applyAlignment="1">
      <alignment horizontal="center"/>
    </xf>
    <xf numFmtId="166" fontId="0" fillId="0" borderId="7" xfId="3" applyNumberFormat="1" applyFont="1" applyBorder="1" applyAlignment="1">
      <alignment horizontal="center"/>
    </xf>
    <xf numFmtId="0" fontId="0" fillId="0" borderId="7" xfId="0" applyBorder="1" applyAlignment="1">
      <alignment horizontal="left" indent="2"/>
    </xf>
    <xf numFmtId="0" fontId="0" fillId="0" borderId="8" xfId="0" applyBorder="1" applyAlignment="1">
      <alignment horizontal="left" indent="2"/>
    </xf>
    <xf numFmtId="0" fontId="0" fillId="0" borderId="7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2" fillId="5" borderId="0" xfId="0" applyFont="1" applyFill="1" applyAlignment="1">
      <alignment horizontal="left" indent="1"/>
    </xf>
    <xf numFmtId="20" fontId="0" fillId="0" borderId="0" xfId="0" applyNumberFormat="1"/>
    <xf numFmtId="0" fontId="0" fillId="0" borderId="9" xfId="0" applyBorder="1" applyAlignment="1">
      <alignment horizontal="left" indent="2"/>
    </xf>
    <xf numFmtId="0" fontId="0" fillId="0" borderId="0" xfId="0" applyAlignment="1">
      <alignment horizontal="left" indent="2"/>
    </xf>
    <xf numFmtId="0" fontId="20" fillId="14" borderId="0" xfId="0" applyFont="1" applyFill="1" applyAlignment="1">
      <alignment vertical="center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left" vertical="center" indent="2"/>
    </xf>
    <xf numFmtId="0" fontId="23" fillId="0" borderId="0" xfId="0" applyFont="1"/>
    <xf numFmtId="167" fontId="23" fillId="0" borderId="0" xfId="3" applyNumberFormat="1" applyFont="1" applyAlignment="1">
      <alignment horizontal="left"/>
    </xf>
    <xf numFmtId="0" fontId="0" fillId="20" borderId="0" xfId="0" applyFill="1"/>
    <xf numFmtId="0" fontId="25" fillId="0" borderId="0" xfId="0" applyFont="1"/>
    <xf numFmtId="167" fontId="6" fillId="0" borderId="0" xfId="3" applyNumberFormat="1" applyFont="1" applyAlignment="1">
      <alignment horizontal="center" vertical="center"/>
    </xf>
    <xf numFmtId="0" fontId="23" fillId="0" borderId="0" xfId="0" applyFont="1" applyAlignment="1">
      <alignment horizontal="center"/>
    </xf>
    <xf numFmtId="166" fontId="23" fillId="0" borderId="0" xfId="0" applyNumberFormat="1" applyFont="1" applyAlignment="1">
      <alignment horizontal="center"/>
    </xf>
    <xf numFmtId="168" fontId="23" fillId="0" borderId="0" xfId="1" applyNumberFormat="1" applyFont="1"/>
    <xf numFmtId="167" fontId="23" fillId="0" borderId="0" xfId="3" applyNumberFormat="1" applyFont="1" applyAlignment="1">
      <alignment horizontal="center"/>
    </xf>
    <xf numFmtId="2" fontId="23" fillId="0" borderId="0" xfId="0" applyNumberFormat="1" applyFont="1" applyAlignment="1">
      <alignment horizontal="center"/>
    </xf>
    <xf numFmtId="165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center"/>
    </xf>
    <xf numFmtId="3" fontId="23" fillId="0" borderId="0" xfId="0" applyNumberFormat="1" applyFont="1" applyAlignment="1">
      <alignment horizontal="center"/>
    </xf>
    <xf numFmtId="167" fontId="4" fillId="0" borderId="0" xfId="3" applyNumberFormat="1" applyFont="1" applyBorder="1" applyAlignment="1">
      <alignment horizontal="left"/>
    </xf>
    <xf numFmtId="167" fontId="23" fillId="0" borderId="0" xfId="3" applyNumberFormat="1" applyFont="1" applyBorder="1" applyAlignment="1">
      <alignment horizontal="left"/>
    </xf>
    <xf numFmtId="167" fontId="6" fillId="0" borderId="0" xfId="3" applyNumberFormat="1" applyFont="1" applyBorder="1" applyAlignment="1">
      <alignment horizontal="left"/>
    </xf>
    <xf numFmtId="0" fontId="0" fillId="21" borderId="0" xfId="0" applyFill="1"/>
    <xf numFmtId="0" fontId="0" fillId="2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2" fontId="0" fillId="0" borderId="0" xfId="0" applyNumberFormat="1"/>
    <xf numFmtId="2" fontId="6" fillId="0" borderId="0" xfId="0" applyNumberFormat="1" applyFont="1"/>
    <xf numFmtId="2" fontId="27" fillId="0" borderId="0" xfId="0" applyNumberFormat="1" applyFont="1"/>
    <xf numFmtId="3" fontId="0" fillId="0" borderId="0" xfId="0" applyNumberFormat="1"/>
    <xf numFmtId="2" fontId="23" fillId="0" borderId="0" xfId="0" applyNumberFormat="1" applyFont="1"/>
    <xf numFmtId="0" fontId="28" fillId="0" borderId="0" xfId="0" applyFont="1"/>
    <xf numFmtId="0" fontId="0" fillId="7" borderId="0" xfId="0" applyFill="1"/>
    <xf numFmtId="0" fontId="1" fillId="8" borderId="0" xfId="0" applyFont="1" applyFill="1" applyAlignment="1">
      <alignment horizontal="center"/>
    </xf>
    <xf numFmtId="1" fontId="0" fillId="0" borderId="0" xfId="0" applyNumberFormat="1"/>
    <xf numFmtId="3" fontId="0" fillId="19" borderId="0" xfId="0" applyNumberFormat="1" applyFill="1" applyAlignment="1">
      <alignment horizontal="center"/>
    </xf>
    <xf numFmtId="0" fontId="0" fillId="19" borderId="0" xfId="0" applyFill="1"/>
    <xf numFmtId="0" fontId="0" fillId="19" borderId="0" xfId="0" applyFill="1" applyAlignment="1">
      <alignment horizontal="center"/>
    </xf>
    <xf numFmtId="3" fontId="4" fillId="19" borderId="0" xfId="0" applyNumberFormat="1" applyFont="1" applyFill="1" applyAlignment="1">
      <alignment horizontal="center"/>
    </xf>
    <xf numFmtId="2" fontId="4" fillId="19" borderId="0" xfId="0" applyNumberFormat="1" applyFont="1" applyFill="1" applyAlignment="1">
      <alignment horizontal="center"/>
    </xf>
    <xf numFmtId="1" fontId="0" fillId="19" borderId="0" xfId="0" applyNumberFormat="1" applyFill="1" applyAlignment="1">
      <alignment horizontal="center"/>
    </xf>
    <xf numFmtId="0" fontId="0" fillId="25" borderId="0" xfId="0" applyFill="1" applyAlignment="1">
      <alignment horizontal="center" vertical="center"/>
    </xf>
    <xf numFmtId="0" fontId="0" fillId="25" borderId="0" xfId="0" applyFill="1" applyAlignment="1">
      <alignment horizontal="center" vertical="center" wrapText="1"/>
    </xf>
    <xf numFmtId="3" fontId="8" fillId="25" borderId="0" xfId="0" applyNumberFormat="1" applyFont="1" applyFill="1" applyAlignment="1">
      <alignment horizontal="center"/>
    </xf>
    <xf numFmtId="3" fontId="5" fillId="25" borderId="0" xfId="0" applyNumberFormat="1" applyFont="1" applyFill="1" applyAlignment="1">
      <alignment horizontal="center"/>
    </xf>
    <xf numFmtId="0" fontId="0" fillId="25" borderId="0" xfId="0" applyFill="1"/>
    <xf numFmtId="165" fontId="5" fillId="25" borderId="0" xfId="0" applyNumberFormat="1" applyFont="1" applyFill="1" applyAlignment="1">
      <alignment horizontal="center"/>
    </xf>
    <xf numFmtId="0" fontId="0" fillId="25" borderId="0" xfId="0" applyFill="1" applyAlignment="1">
      <alignment horizontal="center"/>
    </xf>
    <xf numFmtId="0" fontId="0" fillId="26" borderId="0" xfId="0" applyFill="1" applyAlignment="1">
      <alignment horizontal="center" vertical="center"/>
    </xf>
    <xf numFmtId="0" fontId="0" fillId="26" borderId="0" xfId="0" applyFill="1" applyAlignment="1">
      <alignment horizontal="center" vertical="center" wrapText="1"/>
    </xf>
    <xf numFmtId="3" fontId="8" fillId="26" borderId="0" xfId="0" applyNumberFormat="1" applyFont="1" applyFill="1" applyAlignment="1">
      <alignment horizontal="center"/>
    </xf>
    <xf numFmtId="0" fontId="0" fillId="26" borderId="0" xfId="0" applyFill="1" applyAlignment="1">
      <alignment horizontal="center"/>
    </xf>
    <xf numFmtId="3" fontId="5" fillId="26" borderId="0" xfId="0" applyNumberFormat="1" applyFont="1" applyFill="1" applyAlignment="1">
      <alignment horizontal="center"/>
    </xf>
    <xf numFmtId="0" fontId="0" fillId="26" borderId="0" xfId="0" applyFill="1"/>
    <xf numFmtId="1" fontId="5" fillId="26" borderId="0" xfId="0" applyNumberFormat="1" applyFont="1" applyFill="1" applyAlignment="1">
      <alignment horizontal="center"/>
    </xf>
    <xf numFmtId="2" fontId="0" fillId="19" borderId="0" xfId="0" applyNumberFormat="1" applyFill="1"/>
    <xf numFmtId="167" fontId="5" fillId="26" borderId="0" xfId="3" applyNumberFormat="1" applyFont="1" applyFill="1" applyAlignment="1">
      <alignment horizontal="left"/>
    </xf>
    <xf numFmtId="1" fontId="4" fillId="19" borderId="0" xfId="0" applyNumberFormat="1" applyFont="1" applyFill="1" applyAlignment="1">
      <alignment horizontal="center"/>
    </xf>
    <xf numFmtId="0" fontId="1" fillId="10" borderId="0" xfId="0" applyFont="1" applyFill="1"/>
    <xf numFmtId="0" fontId="1" fillId="8" borderId="0" xfId="0" applyFont="1" applyFill="1"/>
    <xf numFmtId="175" fontId="6" fillId="0" borderId="0" xfId="3" applyNumberFormat="1" applyFont="1" applyAlignment="1">
      <alignment horizontal="center"/>
    </xf>
    <xf numFmtId="176" fontId="0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center"/>
    </xf>
    <xf numFmtId="177" fontId="6" fillId="0" borderId="0" xfId="3" applyNumberFormat="1" applyFont="1" applyAlignment="1">
      <alignment horizontal="center"/>
    </xf>
    <xf numFmtId="175" fontId="0" fillId="19" borderId="0" xfId="3" applyNumberFormat="1" applyFont="1" applyFill="1" applyAlignment="1">
      <alignment vertical="center"/>
    </xf>
    <xf numFmtId="167" fontId="4" fillId="19" borderId="0" xfId="3" applyNumberFormat="1" applyFont="1" applyFill="1" applyAlignment="1">
      <alignment horizontal="center"/>
    </xf>
    <xf numFmtId="165" fontId="4" fillId="19" borderId="0" xfId="0" applyNumberFormat="1" applyFont="1" applyFill="1" applyAlignment="1">
      <alignment horizontal="center"/>
    </xf>
    <xf numFmtId="181" fontId="5" fillId="0" borderId="0" xfId="0" applyNumberFormat="1" applyFont="1" applyAlignment="1">
      <alignment horizontal="center"/>
    </xf>
    <xf numFmtId="182" fontId="5" fillId="0" borderId="0" xfId="0" applyNumberFormat="1" applyFont="1" applyAlignment="1">
      <alignment horizontal="center"/>
    </xf>
    <xf numFmtId="181" fontId="30" fillId="0" borderId="0" xfId="0" applyNumberFormat="1" applyFont="1" applyAlignment="1">
      <alignment horizontal="center"/>
    </xf>
    <xf numFmtId="182" fontId="30" fillId="0" borderId="0" xfId="0" applyNumberFormat="1" applyFont="1" applyAlignment="1">
      <alignment horizontal="center"/>
    </xf>
    <xf numFmtId="180" fontId="6" fillId="0" borderId="0" xfId="0" applyNumberFormat="1" applyFont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24" fillId="0" borderId="0" xfId="0" applyFont="1"/>
    <xf numFmtId="0" fontId="33" fillId="4" borderId="10" xfId="0" applyFont="1" applyFill="1" applyBorder="1" applyAlignment="1">
      <alignment vertical="center"/>
    </xf>
    <xf numFmtId="0" fontId="33" fillId="4" borderId="10" xfId="0" applyFont="1" applyFill="1" applyBorder="1" applyAlignment="1">
      <alignment horizontal="center" vertical="center"/>
    </xf>
    <xf numFmtId="0" fontId="33" fillId="4" borderId="10" xfId="0" applyFont="1" applyFill="1" applyBorder="1" applyAlignment="1">
      <alignment horizontal="right" vertical="center" wrapText="1"/>
    </xf>
    <xf numFmtId="0" fontId="34" fillId="4" borderId="10" xfId="0" applyFont="1" applyFill="1" applyBorder="1"/>
    <xf numFmtId="0" fontId="35" fillId="4" borderId="10" xfId="0" applyFont="1" applyFill="1" applyBorder="1"/>
    <xf numFmtId="179" fontId="33" fillId="4" borderId="10" xfId="0" applyNumberFormat="1" applyFont="1" applyFill="1" applyBorder="1"/>
    <xf numFmtId="0" fontId="35" fillId="4" borderId="11" xfId="0" applyFont="1" applyFill="1" applyBorder="1"/>
    <xf numFmtId="179" fontId="35" fillId="4" borderId="11" xfId="0" applyNumberFormat="1" applyFont="1" applyFill="1" applyBorder="1"/>
    <xf numFmtId="0" fontId="35" fillId="4" borderId="13" xfId="0" applyFont="1" applyFill="1" applyBorder="1"/>
    <xf numFmtId="0" fontId="35" fillId="4" borderId="14" xfId="0" applyFont="1" applyFill="1" applyBorder="1"/>
    <xf numFmtId="0" fontId="35" fillId="4" borderId="15" xfId="0" applyFont="1" applyFill="1" applyBorder="1"/>
    <xf numFmtId="0" fontId="35" fillId="4" borderId="16" xfId="0" applyFont="1" applyFill="1" applyBorder="1"/>
    <xf numFmtId="0" fontId="35" fillId="4" borderId="18" xfId="0" applyFont="1" applyFill="1" applyBorder="1"/>
    <xf numFmtId="0" fontId="35" fillId="4" borderId="12" xfId="0" applyFont="1" applyFill="1" applyBorder="1" applyAlignment="1">
      <alignment horizontal="center" vertical="center" wrapText="1"/>
    </xf>
    <xf numFmtId="0" fontId="35" fillId="4" borderId="10" xfId="0" applyFont="1" applyFill="1" applyBorder="1" applyAlignment="1">
      <alignment horizontal="center"/>
    </xf>
    <xf numFmtId="179" fontId="35" fillId="4" borderId="10" xfId="0" applyNumberFormat="1" applyFont="1" applyFill="1" applyBorder="1"/>
    <xf numFmtId="178" fontId="35" fillId="4" borderId="10" xfId="0" applyNumberFormat="1" applyFont="1" applyFill="1" applyBorder="1"/>
    <xf numFmtId="1" fontId="5" fillId="27" borderId="0" xfId="0" applyNumberFormat="1" applyFont="1" applyFill="1" applyAlignment="1">
      <alignment horizontal="center"/>
    </xf>
    <xf numFmtId="0" fontId="36" fillId="19" borderId="0" xfId="0" quotePrefix="1" applyFont="1" applyFill="1"/>
    <xf numFmtId="0" fontId="37" fillId="0" borderId="0" xfId="0" applyFont="1"/>
    <xf numFmtId="0" fontId="2" fillId="0" borderId="19" xfId="0" applyFont="1" applyBorder="1"/>
    <xf numFmtId="0" fontId="32" fillId="26" borderId="0" xfId="0" applyFont="1" applyFill="1"/>
    <xf numFmtId="0" fontId="0" fillId="25" borderId="0" xfId="0" applyFill="1" applyAlignment="1">
      <alignment wrapText="1"/>
    </xf>
    <xf numFmtId="0" fontId="0" fillId="0" borderId="0" xfId="0" applyAlignment="1">
      <alignment horizontal="right"/>
    </xf>
    <xf numFmtId="167" fontId="6" fillId="0" borderId="0" xfId="3" applyNumberFormat="1" applyFont="1" applyAlignment="1">
      <alignment horizontal="right"/>
    </xf>
    <xf numFmtId="0" fontId="32" fillId="28" borderId="0" xfId="0" applyFont="1" applyFill="1"/>
    <xf numFmtId="1" fontId="0" fillId="0" borderId="0" xfId="0" applyNumberFormat="1" applyAlignment="1">
      <alignment horizontal="right"/>
    </xf>
    <xf numFmtId="0" fontId="32" fillId="13" borderId="0" xfId="0" applyFont="1" applyFill="1"/>
    <xf numFmtId="167" fontId="4" fillId="0" borderId="0" xfId="3" applyNumberFormat="1" applyFont="1" applyAlignment="1">
      <alignment horizontal="right"/>
    </xf>
    <xf numFmtId="183" fontId="0" fillId="0" borderId="0" xfId="0" applyNumberFormat="1" applyAlignment="1">
      <alignment horizontal="center"/>
    </xf>
    <xf numFmtId="0" fontId="32" fillId="29" borderId="0" xfId="0" applyFont="1" applyFill="1"/>
    <xf numFmtId="165" fontId="0" fillId="19" borderId="0" xfId="0" applyNumberFormat="1" applyFill="1" applyAlignment="1">
      <alignment horizontal="center"/>
    </xf>
    <xf numFmtId="0" fontId="0" fillId="11" borderId="0" xfId="0" applyFill="1"/>
    <xf numFmtId="0" fontId="35" fillId="4" borderId="20" xfId="0" applyFont="1" applyFill="1" applyBorder="1"/>
    <xf numFmtId="0" fontId="35" fillId="4" borderId="0" xfId="0" applyFont="1" applyFill="1"/>
    <xf numFmtId="0" fontId="35" fillId="4" borderId="21" xfId="0" applyFont="1" applyFill="1" applyBorder="1"/>
    <xf numFmtId="0" fontId="34" fillId="4" borderId="12" xfId="0" applyFont="1" applyFill="1" applyBorder="1" applyAlignment="1">
      <alignment horizontal="left" vertical="center" wrapText="1"/>
    </xf>
    <xf numFmtId="179" fontId="33" fillId="4" borderId="12" xfId="0" applyNumberFormat="1" applyFont="1" applyFill="1" applyBorder="1"/>
    <xf numFmtId="0" fontId="35" fillId="4" borderId="17" xfId="0" applyFont="1" applyFill="1" applyBorder="1" applyAlignment="1">
      <alignment horizontal="center" vertical="center" wrapText="1"/>
    </xf>
    <xf numFmtId="0" fontId="0" fillId="30" borderId="0" xfId="0" applyFill="1"/>
    <xf numFmtId="0" fontId="31" fillId="30" borderId="0" xfId="0" applyFont="1" applyFill="1"/>
    <xf numFmtId="0" fontId="32" fillId="30" borderId="0" xfId="0" applyFont="1" applyFill="1" applyAlignment="1">
      <alignment wrapText="1"/>
    </xf>
    <xf numFmtId="0" fontId="2" fillId="30" borderId="0" xfId="0" applyFont="1" applyFill="1" applyAlignment="1">
      <alignment wrapText="1"/>
    </xf>
    <xf numFmtId="0" fontId="0" fillId="30" borderId="0" xfId="0" applyFill="1" applyAlignment="1">
      <alignment wrapText="1"/>
    </xf>
    <xf numFmtId="0" fontId="38" fillId="30" borderId="0" xfId="0" applyFont="1" applyFill="1"/>
    <xf numFmtId="0" fontId="31" fillId="30" borderId="0" xfId="0" applyFont="1" applyFill="1" applyAlignment="1">
      <alignment horizontal="center" vertical="center" wrapText="1"/>
    </xf>
    <xf numFmtId="0" fontId="0" fillId="30" borderId="0" xfId="0" applyFill="1" applyAlignment="1">
      <alignment horizontal="center" vertical="center" wrapText="1"/>
    </xf>
    <xf numFmtId="0" fontId="0" fillId="30" borderId="0" xfId="0" applyFill="1" applyAlignment="1">
      <alignment horizontal="center"/>
    </xf>
    <xf numFmtId="0" fontId="4" fillId="30" borderId="0" xfId="0" applyFont="1" applyFill="1"/>
    <xf numFmtId="0" fontId="30" fillId="30" borderId="0" xfId="0" applyFont="1" applyFill="1"/>
    <xf numFmtId="178" fontId="0" fillId="30" borderId="0" xfId="0" applyNumberFormat="1" applyFill="1"/>
    <xf numFmtId="1" fontId="0" fillId="30" borderId="0" xfId="0" applyNumberFormat="1" applyFill="1"/>
    <xf numFmtId="0" fontId="39" fillId="30" borderId="0" xfId="0" applyFont="1" applyFill="1" applyAlignment="1">
      <alignment vertical="center" wrapText="1"/>
    </xf>
    <xf numFmtId="0" fontId="23" fillId="30" borderId="0" xfId="0" applyFont="1" applyFill="1"/>
    <xf numFmtId="0" fontId="9" fillId="30" borderId="0" xfId="0" applyFont="1" applyFill="1"/>
    <xf numFmtId="0" fontId="2" fillId="30" borderId="0" xfId="0" applyFont="1" applyFill="1" applyAlignment="1">
      <alignment horizontal="left"/>
    </xf>
    <xf numFmtId="2" fontId="40" fillId="30" borderId="0" xfId="0" applyNumberFormat="1" applyFont="1" applyFill="1" applyAlignment="1">
      <alignment vertical="top"/>
    </xf>
    <xf numFmtId="0" fontId="2" fillId="30" borderId="0" xfId="0" applyFont="1" applyFill="1"/>
    <xf numFmtId="167" fontId="0" fillId="30" borderId="0" xfId="3" applyNumberFormat="1" applyFont="1" applyFill="1" applyAlignment="1">
      <alignment horizontal="center"/>
    </xf>
    <xf numFmtId="166" fontId="0" fillId="30" borderId="0" xfId="0" applyNumberFormat="1" applyFill="1" applyAlignment="1">
      <alignment horizontal="center"/>
    </xf>
    <xf numFmtId="0" fontId="0" fillId="4" borderId="17" xfId="0" applyFill="1" applyBorder="1"/>
    <xf numFmtId="0" fontId="39" fillId="30" borderId="0" xfId="0" applyFont="1" applyFill="1"/>
    <xf numFmtId="2" fontId="39" fillId="30" borderId="0" xfId="0" applyNumberFormat="1" applyFont="1" applyFill="1" applyAlignment="1">
      <alignment vertical="center" wrapText="1"/>
    </xf>
    <xf numFmtId="0" fontId="35" fillId="26" borderId="11" xfId="0" applyFont="1" applyFill="1" applyBorder="1" applyProtection="1">
      <protection locked="0"/>
    </xf>
    <xf numFmtId="164" fontId="35" fillId="26" borderId="11" xfId="3" applyFont="1" applyFill="1" applyBorder="1" applyProtection="1">
      <protection locked="0"/>
    </xf>
    <xf numFmtId="178" fontId="35" fillId="26" borderId="11" xfId="0" applyNumberFormat="1" applyFont="1" applyFill="1" applyBorder="1" applyProtection="1">
      <protection locked="0"/>
    </xf>
    <xf numFmtId="0" fontId="35" fillId="26" borderId="10" xfId="0" applyFont="1" applyFill="1" applyBorder="1" applyAlignment="1" applyProtection="1">
      <alignment wrapText="1"/>
      <protection locked="0"/>
    </xf>
    <xf numFmtId="178" fontId="35" fillId="26" borderId="10" xfId="0" applyNumberFormat="1" applyFont="1" applyFill="1" applyBorder="1" applyProtection="1">
      <protection locked="0"/>
    </xf>
    <xf numFmtId="0" fontId="35" fillId="26" borderId="10" xfId="0" applyFont="1" applyFill="1" applyBorder="1" applyProtection="1">
      <protection locked="0"/>
    </xf>
    <xf numFmtId="164" fontId="35" fillId="26" borderId="10" xfId="3" applyFont="1" applyFill="1" applyBorder="1" applyProtection="1">
      <protection locked="0"/>
    </xf>
    <xf numFmtId="0" fontId="31" fillId="4" borderId="0" xfId="0" applyFont="1" applyFill="1"/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7" borderId="0" xfId="0" applyFill="1" applyAlignment="1">
      <alignment horizontal="center" vertical="center"/>
    </xf>
    <xf numFmtId="0" fontId="1" fillId="6" borderId="0" xfId="0" applyFont="1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12" borderId="0" xfId="0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0" fillId="19" borderId="0" xfId="0" applyFill="1" applyAlignment="1">
      <alignment horizontal="center" vertical="center" wrapText="1"/>
    </xf>
    <xf numFmtId="0" fontId="0" fillId="19" borderId="0" xfId="0" applyFill="1" applyAlignment="1">
      <alignment horizontal="center" wrapText="1"/>
    </xf>
    <xf numFmtId="0" fontId="0" fillId="26" borderId="0" xfId="0" applyFill="1" applyAlignment="1">
      <alignment horizontal="center" wrapText="1"/>
    </xf>
    <xf numFmtId="0" fontId="0" fillId="19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25" borderId="0" xfId="0" applyFill="1" applyAlignment="1">
      <alignment horizontal="center" wrapText="1"/>
    </xf>
    <xf numFmtId="0" fontId="4" fillId="25" borderId="0" xfId="0" applyFont="1" applyFill="1" applyAlignment="1">
      <alignment horizontal="center" wrapText="1"/>
    </xf>
    <xf numFmtId="0" fontId="4" fillId="25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left"/>
    </xf>
    <xf numFmtId="0" fontId="0" fillId="27" borderId="0" xfId="0" applyFill="1" applyAlignment="1">
      <alignment horizontal="center" wrapText="1"/>
    </xf>
    <xf numFmtId="0" fontId="0" fillId="25" borderId="0" xfId="0" applyFill="1" applyAlignment="1">
      <alignment horizontal="center" vertical="center" wrapText="1"/>
    </xf>
    <xf numFmtId="0" fontId="1" fillId="8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0" fillId="26" borderId="0" xfId="0" applyFill="1" applyAlignment="1">
      <alignment horizontal="center" vertical="center" wrapText="1"/>
    </xf>
    <xf numFmtId="0" fontId="11" fillId="11" borderId="0" xfId="0" applyFont="1" applyFill="1" applyAlignment="1">
      <alignment horizontal="left"/>
    </xf>
    <xf numFmtId="0" fontId="24" fillId="23" borderId="0" xfId="0" applyFont="1" applyFill="1" applyAlignment="1">
      <alignment horizontal="left"/>
    </xf>
    <xf numFmtId="0" fontId="11" fillId="13" borderId="1" xfId="0" applyFont="1" applyFill="1" applyBorder="1" applyAlignment="1">
      <alignment horizontal="center"/>
    </xf>
    <xf numFmtId="0" fontId="11" fillId="13" borderId="0" xfId="0" applyFont="1" applyFill="1" applyAlignment="1">
      <alignment horizontal="center"/>
    </xf>
    <xf numFmtId="0" fontId="24" fillId="19" borderId="0" xfId="0" applyFont="1" applyFill="1" applyAlignment="1">
      <alignment horizontal="left"/>
    </xf>
    <xf numFmtId="0" fontId="11" fillId="13" borderId="1" xfId="0" applyFont="1" applyFill="1" applyBorder="1" applyAlignment="1">
      <alignment horizontal="left"/>
    </xf>
    <xf numFmtId="0" fontId="11" fillId="13" borderId="0" xfId="0" applyFont="1" applyFill="1" applyAlignment="1">
      <alignment horizontal="left"/>
    </xf>
    <xf numFmtId="0" fontId="11" fillId="3" borderId="0" xfId="0" applyFont="1" applyFill="1" applyAlignment="1">
      <alignment horizontal="left"/>
    </xf>
    <xf numFmtId="0" fontId="24" fillId="24" borderId="0" xfId="0" applyFont="1" applyFill="1" applyAlignment="1">
      <alignment horizontal="left"/>
    </xf>
    <xf numFmtId="0" fontId="4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0" borderId="0" xfId="0" applyFill="1" applyAlignment="1">
      <alignment horizontal="center"/>
    </xf>
    <xf numFmtId="0" fontId="41" fillId="31" borderId="5" xfId="0" applyFont="1" applyFill="1" applyBorder="1" applyAlignment="1">
      <alignment horizontal="center" vertical="center"/>
    </xf>
    <xf numFmtId="0" fontId="41" fillId="31" borderId="0" xfId="0" applyFont="1" applyFill="1" applyAlignment="1">
      <alignment horizontal="center" vertical="center"/>
    </xf>
    <xf numFmtId="0" fontId="39" fillId="30" borderId="0" xfId="0" applyFont="1" applyFill="1" applyAlignment="1">
      <alignment horizontal="center"/>
    </xf>
    <xf numFmtId="2" fontId="39" fillId="30" borderId="0" xfId="0" applyNumberFormat="1" applyFont="1" applyFill="1" applyAlignment="1">
      <alignment horizontal="center" vertical="center" wrapText="1"/>
    </xf>
    <xf numFmtId="2" fontId="39" fillId="30" borderId="0" xfId="0" applyNumberFormat="1" applyFont="1" applyFill="1" applyAlignment="1">
      <alignment horizontal="center" vertical="top"/>
    </xf>
    <xf numFmtId="0" fontId="39" fillId="30" borderId="0" xfId="0" applyFont="1" applyFill="1" applyAlignment="1">
      <alignment horizontal="center" vertical="center" wrapText="1"/>
    </xf>
    <xf numFmtId="0" fontId="41" fillId="32" borderId="22" xfId="0" applyFont="1" applyFill="1" applyBorder="1" applyAlignment="1">
      <alignment horizontal="center" vertical="center"/>
    </xf>
    <xf numFmtId="0" fontId="41" fillId="32" borderId="0" xfId="0" applyFont="1" applyFill="1" applyAlignment="1">
      <alignment horizontal="center" vertical="center"/>
    </xf>
    <xf numFmtId="0" fontId="41" fillId="34" borderId="25" xfId="0" applyFont="1" applyFill="1" applyBorder="1" applyAlignment="1">
      <alignment horizontal="center" vertical="center"/>
    </xf>
    <xf numFmtId="0" fontId="41" fillId="34" borderId="0" xfId="0" applyFont="1" applyFill="1" applyAlignment="1">
      <alignment horizontal="center" vertical="center"/>
    </xf>
    <xf numFmtId="0" fontId="41" fillId="34" borderId="26" xfId="0" applyFont="1" applyFill="1" applyBorder="1" applyAlignment="1">
      <alignment horizontal="center" vertical="center"/>
    </xf>
    <xf numFmtId="0" fontId="41" fillId="33" borderId="23" xfId="0" applyFont="1" applyFill="1" applyBorder="1" applyAlignment="1">
      <alignment horizontal="center" vertical="center"/>
    </xf>
    <xf numFmtId="0" fontId="41" fillId="33" borderId="0" xfId="0" applyFont="1" applyFill="1" applyAlignment="1">
      <alignment horizontal="center" vertical="center"/>
    </xf>
    <xf numFmtId="0" fontId="41" fillId="33" borderId="24" xfId="0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0" fillId="14" borderId="0" xfId="0" applyFill="1" applyAlignment="1">
      <alignment horizontal="left"/>
    </xf>
    <xf numFmtId="0" fontId="1" fillId="18" borderId="0" xfId="0" applyFont="1" applyFill="1" applyAlignment="1">
      <alignment horizontal="left" vertical="center"/>
    </xf>
    <xf numFmtId="0" fontId="21" fillId="0" borderId="8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35" fillId="30" borderId="0" xfId="0" applyFont="1" applyFill="1" applyAlignment="1">
      <alignment horizontal="center" vertical="center" wrapText="1"/>
    </xf>
    <xf numFmtId="0" fontId="0" fillId="35" borderId="0" xfId="0" applyFill="1"/>
    <xf numFmtId="167" fontId="0" fillId="35" borderId="0" xfId="3" applyNumberFormat="1" applyFont="1" applyFill="1" applyAlignment="1">
      <alignment horizontal="center"/>
    </xf>
    <xf numFmtId="166" fontId="0" fillId="35" borderId="0" xfId="0" applyNumberFormat="1" applyFill="1" applyAlignment="1">
      <alignment horizontal="center"/>
    </xf>
  </cellXfs>
  <cellStyles count="10">
    <cellStyle name="a_$0" xfId="8" xr:uid="{00000000-0005-0000-0000-000000000000}"/>
    <cellStyle name="a_n0" xfId="5" xr:uid="{00000000-0005-0000-0000-000001000000}"/>
    <cellStyle name="a_n1" xfId="4" xr:uid="{00000000-0005-0000-0000-000002000000}"/>
    <cellStyle name="a_n2" xfId="9" xr:uid="{00000000-0005-0000-0000-000003000000}"/>
    <cellStyle name="BlueBackGround" xfId="7" xr:uid="{00000000-0005-0000-0000-000004000000}"/>
    <cellStyle name="Comma" xfId="3" builtinId="3"/>
    <cellStyle name="Data Entry Blue Background" xfId="2" xr:uid="{00000000-0005-0000-0000-000006000000}"/>
    <cellStyle name="Normal" xfId="0" builtinId="0"/>
    <cellStyle name="Per cent" xfId="1" builtinId="5"/>
    <cellStyle name="ReadOnly1Dec" xfId="6" xr:uid="{00000000-0005-0000-0000-00000A000000}"/>
  </cellStyles>
  <dxfs count="0"/>
  <tableStyles count="0" defaultTableStyle="TableStyleMedium2" defaultPivotStyle="PivotStyleLight16"/>
  <colors>
    <mruColors>
      <color rgb="FFF3F4F3"/>
      <color rgb="FFF7F9DD"/>
      <color rgb="FFF5F9ED"/>
      <color rgb="FFF4F2F8"/>
      <color rgb="FFFFFF99"/>
      <color rgb="FFE8FEE2"/>
      <color rgb="FFF8F8F8"/>
      <color rgb="FFE3F5B5"/>
      <color rgb="FFC8EC6E"/>
      <color rgb="FFF4E3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Relationship Id="rId30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9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Variables'!$N$4:$N$33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30-42B4-A625-B1E69C5E1D1E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Variables'!$G$4:$G$33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30-42B4-A625-B1E69C5E1D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Variables'!$O$4:$O$33</c:f>
              <c:numCache>
                <c:formatCode>_-* #,##0.00000_-;\-* #,##0.00000_-;_-* "-"??_-;_-@_-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C4-4B67-853A-A9BA6037C4D5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Variables'!$H$4:$H$33</c:f>
              <c:numCache>
                <c:formatCode>#,##0.0000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C4-4B67-853A-A9BA6037C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Price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$/kg</a:t>
            </a:r>
            <a:endParaRPr lang="en-AU" sz="1400"/>
          </a:p>
        </c:rich>
      </c:tx>
      <c:layout>
        <c:manualLayout>
          <c:xMode val="edge"/>
          <c:yMode val="edge"/>
          <c:x val="1.1200033459689182E-2"/>
          <c:y val="8.8947303757934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Variables'!$B$4:$B$33</c:f>
              <c:numCache>
                <c:formatCode>#,##0.0</c:formatCode>
                <c:ptCount val="30"/>
                <c:pt idx="0">
                  <c:v>6500</c:v>
                </c:pt>
                <c:pt idx="1">
                  <c:v>6595.1713395638626</c:v>
                </c:pt>
                <c:pt idx="2">
                  <c:v>6826.0124610591902</c:v>
                </c:pt>
                <c:pt idx="3">
                  <c:v>6996.6121495327106</c:v>
                </c:pt>
                <c:pt idx="4">
                  <c:v>7220.5037383177578</c:v>
                </c:pt>
                <c:pt idx="5">
                  <c:v>7451.5598579439265</c:v>
                </c:pt>
                <c:pt idx="6">
                  <c:v>7690.009773398132</c:v>
                </c:pt>
                <c:pt idx="7">
                  <c:v>7936.0900861468717</c:v>
                </c:pt>
                <c:pt idx="8">
                  <c:v>8190.0449689035722</c:v>
                </c:pt>
                <c:pt idx="9">
                  <c:v>8452.1264079084849</c:v>
                </c:pt>
                <c:pt idx="10">
                  <c:v>8722.5944529615554</c:v>
                </c:pt>
                <c:pt idx="11">
                  <c:v>9001.7174754563257</c:v>
                </c:pt>
                <c:pt idx="12">
                  <c:v>9289.7724346709274</c:v>
                </c:pt>
                <c:pt idx="13">
                  <c:v>9587.0451525803965</c:v>
                </c:pt>
                <c:pt idx="14">
                  <c:v>9893.8305974629693</c:v>
                </c:pt>
                <c:pt idx="15">
                  <c:v>10210.433176581786</c:v>
                </c:pt>
                <c:pt idx="16">
                  <c:v>10537.167038232403</c:v>
                </c:pt>
                <c:pt idx="17">
                  <c:v>10874.356383455839</c:v>
                </c:pt>
                <c:pt idx="18">
                  <c:v>11222.335787726428</c:v>
                </c:pt>
                <c:pt idx="19">
                  <c:v>11581.450532933675</c:v>
                </c:pt>
                <c:pt idx="20">
                  <c:v>11952.056949987555</c:v>
                </c:pt>
                <c:pt idx="21">
                  <c:v>12334.522772387156</c:v>
                </c:pt>
                <c:pt idx="22">
                  <c:v>12729.227501103544</c:v>
                </c:pt>
                <c:pt idx="23">
                  <c:v>13136.562781138857</c:v>
                </c:pt>
                <c:pt idx="24">
                  <c:v>13556.932790135299</c:v>
                </c:pt>
                <c:pt idx="25">
                  <c:v>13990.754639419629</c:v>
                </c:pt>
                <c:pt idx="26">
                  <c:v>14438.458787881058</c:v>
                </c:pt>
                <c:pt idx="27">
                  <c:v>14900.489469093251</c:v>
                </c:pt>
                <c:pt idx="28">
                  <c:v>15377.305132104235</c:v>
                </c:pt>
                <c:pt idx="29">
                  <c:v>15869.378896331569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39-47A6-999B-637D6E2443DF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Variables'!$I$4:$I$33</c:f>
              <c:numCache>
                <c:formatCode>#,##0.0</c:formatCode>
                <c:ptCount val="30"/>
                <c:pt idx="0">
                  <c:v>6500</c:v>
                </c:pt>
                <c:pt idx="1">
                  <c:v>6595.1713395638626</c:v>
                </c:pt>
                <c:pt idx="2">
                  <c:v>6826.0124610591902</c:v>
                </c:pt>
                <c:pt idx="3">
                  <c:v>6996.6121495327106</c:v>
                </c:pt>
                <c:pt idx="4">
                  <c:v>7220.5037383177578</c:v>
                </c:pt>
                <c:pt idx="5">
                  <c:v>7451.5598579439265</c:v>
                </c:pt>
                <c:pt idx="6">
                  <c:v>7690.009773398132</c:v>
                </c:pt>
                <c:pt idx="7">
                  <c:v>7936.0900861468717</c:v>
                </c:pt>
                <c:pt idx="8">
                  <c:v>8190.0449689035722</c:v>
                </c:pt>
                <c:pt idx="9">
                  <c:v>8452.1264079084849</c:v>
                </c:pt>
                <c:pt idx="10">
                  <c:v>8722.5944529615554</c:v>
                </c:pt>
                <c:pt idx="11">
                  <c:v>9001.7174754563257</c:v>
                </c:pt>
                <c:pt idx="12">
                  <c:v>9289.7724346709274</c:v>
                </c:pt>
                <c:pt idx="13">
                  <c:v>9587.0451525803965</c:v>
                </c:pt>
                <c:pt idx="14">
                  <c:v>9893.8305974629693</c:v>
                </c:pt>
                <c:pt idx="15">
                  <c:v>10210.433176581786</c:v>
                </c:pt>
                <c:pt idx="16">
                  <c:v>10537.167038232403</c:v>
                </c:pt>
                <c:pt idx="17">
                  <c:v>10874.356383455839</c:v>
                </c:pt>
                <c:pt idx="18">
                  <c:v>11222.335787726428</c:v>
                </c:pt>
                <c:pt idx="19">
                  <c:v>11581.450532933675</c:v>
                </c:pt>
                <c:pt idx="20">
                  <c:v>11952.056949987555</c:v>
                </c:pt>
                <c:pt idx="21">
                  <c:v>12334.522772387156</c:v>
                </c:pt>
                <c:pt idx="22">
                  <c:v>12729.227501103544</c:v>
                </c:pt>
                <c:pt idx="23">
                  <c:v>13136.562781138857</c:v>
                </c:pt>
                <c:pt idx="24">
                  <c:v>13556.932790135299</c:v>
                </c:pt>
                <c:pt idx="25">
                  <c:v>13990.754639419629</c:v>
                </c:pt>
                <c:pt idx="26">
                  <c:v>14438.458787881058</c:v>
                </c:pt>
                <c:pt idx="27">
                  <c:v>14900.489469093251</c:v>
                </c:pt>
                <c:pt idx="28">
                  <c:v>15377.305132104235</c:v>
                </c:pt>
                <c:pt idx="29">
                  <c:v>15869.378896331569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39-47A6-999B-637D6E244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Yield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6.9871761779712587E-3"/>
          <c:y val="7.861455847035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'Almonds Margin - Baseline'!$D$5:$D$34</c:f>
              <c:numCache>
                <c:formatCode>#,##0.0</c:formatCode>
                <c:ptCount val="30"/>
                <c:pt idx="0">
                  <c:v>2.48</c:v>
                </c:pt>
                <c:pt idx="1">
                  <c:v>2.48</c:v>
                </c:pt>
                <c:pt idx="2">
                  <c:v>2.48</c:v>
                </c:pt>
                <c:pt idx="3">
                  <c:v>2.48</c:v>
                </c:pt>
                <c:pt idx="4">
                  <c:v>2.48</c:v>
                </c:pt>
                <c:pt idx="5">
                  <c:v>2.48</c:v>
                </c:pt>
                <c:pt idx="6">
                  <c:v>2.48</c:v>
                </c:pt>
                <c:pt idx="7">
                  <c:v>2.48</c:v>
                </c:pt>
                <c:pt idx="8">
                  <c:v>2.48</c:v>
                </c:pt>
                <c:pt idx="9">
                  <c:v>2.48</c:v>
                </c:pt>
                <c:pt idx="10">
                  <c:v>2.48</c:v>
                </c:pt>
                <c:pt idx="11">
                  <c:v>2.48</c:v>
                </c:pt>
                <c:pt idx="12">
                  <c:v>2.48</c:v>
                </c:pt>
                <c:pt idx="13">
                  <c:v>2.48</c:v>
                </c:pt>
                <c:pt idx="14">
                  <c:v>2.48</c:v>
                </c:pt>
                <c:pt idx="15">
                  <c:v>2.48</c:v>
                </c:pt>
                <c:pt idx="16">
                  <c:v>2.48</c:v>
                </c:pt>
                <c:pt idx="17">
                  <c:v>2.48</c:v>
                </c:pt>
                <c:pt idx="18">
                  <c:v>2.48</c:v>
                </c:pt>
                <c:pt idx="19">
                  <c:v>2.48</c:v>
                </c:pt>
                <c:pt idx="20">
                  <c:v>2.48</c:v>
                </c:pt>
                <c:pt idx="21">
                  <c:v>2.48</c:v>
                </c:pt>
                <c:pt idx="22">
                  <c:v>2.48</c:v>
                </c:pt>
                <c:pt idx="23">
                  <c:v>2.48</c:v>
                </c:pt>
                <c:pt idx="24">
                  <c:v>2.48</c:v>
                </c:pt>
                <c:pt idx="25">
                  <c:v>2.48</c:v>
                </c:pt>
                <c:pt idx="26">
                  <c:v>2.48</c:v>
                </c:pt>
                <c:pt idx="27">
                  <c:v>2.48</c:v>
                </c:pt>
                <c:pt idx="28">
                  <c:v>2.48</c:v>
                </c:pt>
                <c:pt idx="29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D6-4AF4-9EC5-E35112396F96}"/>
            </c:ext>
          </c:extLst>
        </c:ser>
        <c:ser>
          <c:idx val="1"/>
          <c:order val="1"/>
          <c:tx>
            <c:v>"Alternative"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Variables'!$K$4:$K$33</c:f>
              <c:numCache>
                <c:formatCode>_-* #,##0_-;\-* #,##0_-;_-* "-"??_-;_-@_-</c:formatCode>
                <c:ptCount val="30"/>
                <c:pt idx="0">
                  <c:v>2.48</c:v>
                </c:pt>
                <c:pt idx="1">
                  <c:v>2.48</c:v>
                </c:pt>
                <c:pt idx="2">
                  <c:v>2.48</c:v>
                </c:pt>
                <c:pt idx="3">
                  <c:v>2.48</c:v>
                </c:pt>
                <c:pt idx="4">
                  <c:v>2.48</c:v>
                </c:pt>
                <c:pt idx="5">
                  <c:v>2.48</c:v>
                </c:pt>
                <c:pt idx="6">
                  <c:v>2.48</c:v>
                </c:pt>
                <c:pt idx="7">
                  <c:v>2.48</c:v>
                </c:pt>
                <c:pt idx="8">
                  <c:v>2.48</c:v>
                </c:pt>
                <c:pt idx="9">
                  <c:v>2.48</c:v>
                </c:pt>
                <c:pt idx="10">
                  <c:v>2.48</c:v>
                </c:pt>
                <c:pt idx="11">
                  <c:v>2.48</c:v>
                </c:pt>
                <c:pt idx="12">
                  <c:v>2.48</c:v>
                </c:pt>
                <c:pt idx="13">
                  <c:v>2.48</c:v>
                </c:pt>
                <c:pt idx="14">
                  <c:v>2.48</c:v>
                </c:pt>
                <c:pt idx="15">
                  <c:v>2.48</c:v>
                </c:pt>
                <c:pt idx="16">
                  <c:v>2.48</c:v>
                </c:pt>
                <c:pt idx="17">
                  <c:v>2.48</c:v>
                </c:pt>
                <c:pt idx="18">
                  <c:v>2.48</c:v>
                </c:pt>
                <c:pt idx="19">
                  <c:v>2.48</c:v>
                </c:pt>
                <c:pt idx="20">
                  <c:v>2.48</c:v>
                </c:pt>
                <c:pt idx="21">
                  <c:v>2.48</c:v>
                </c:pt>
                <c:pt idx="22">
                  <c:v>2.48</c:v>
                </c:pt>
                <c:pt idx="23">
                  <c:v>2.48</c:v>
                </c:pt>
                <c:pt idx="24">
                  <c:v>2.48</c:v>
                </c:pt>
                <c:pt idx="25">
                  <c:v>2.48</c:v>
                </c:pt>
                <c:pt idx="26">
                  <c:v>2.48</c:v>
                </c:pt>
                <c:pt idx="27">
                  <c:v>2.48</c:v>
                </c:pt>
                <c:pt idx="28">
                  <c:v>2.48</c:v>
                </c:pt>
                <c:pt idx="29">
                  <c:v>2.48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D6-4AF4-9EC5-E35112396F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Gross Income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0191509018538"/>
          <c:y val="0.2527682449929581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Variables'!$E$4:$E$33</c:f>
              <c:numCache>
                <c:formatCode>_-* #,##0_-;\-* #,##0_-;_-* "-"??_-;_-@_-</c:formatCode>
                <c:ptCount val="30"/>
                <c:pt idx="0">
                  <c:v>16120</c:v>
                </c:pt>
                <c:pt idx="1">
                  <c:v>16356.024922118379</c:v>
                </c:pt>
                <c:pt idx="2">
                  <c:v>16928.510903426792</c:v>
                </c:pt>
                <c:pt idx="3">
                  <c:v>17351.598130841121</c:v>
                </c:pt>
                <c:pt idx="4">
                  <c:v>17906.849271028041</c:v>
                </c:pt>
                <c:pt idx="5">
                  <c:v>18479.868447700937</c:v>
                </c:pt>
                <c:pt idx="6">
                  <c:v>19071.224238027367</c:v>
                </c:pt>
                <c:pt idx="7">
                  <c:v>19681.503413644241</c:v>
                </c:pt>
                <c:pt idx="8">
                  <c:v>20311.31152288086</c:v>
                </c:pt>
                <c:pt idx="9">
                  <c:v>20961.273491613043</c:v>
                </c:pt>
                <c:pt idx="10">
                  <c:v>21632.034243344657</c:v>
                </c:pt>
                <c:pt idx="11">
                  <c:v>22324.259339131688</c:v>
                </c:pt>
                <c:pt idx="12">
                  <c:v>23038.635637983898</c:v>
                </c:pt>
                <c:pt idx="13">
                  <c:v>23775.871978399384</c:v>
                </c:pt>
                <c:pt idx="14">
                  <c:v>24536.699881708162</c:v>
                </c:pt>
                <c:pt idx="15">
                  <c:v>25321.874277922831</c:v>
                </c:pt>
                <c:pt idx="16">
                  <c:v>26132.17425481636</c:v>
                </c:pt>
                <c:pt idx="17">
                  <c:v>26968.403830970481</c:v>
                </c:pt>
                <c:pt idx="18">
                  <c:v>27831.39275356154</c:v>
                </c:pt>
                <c:pt idx="19">
                  <c:v>28721.997321675513</c:v>
                </c:pt>
                <c:pt idx="20">
                  <c:v>29641.101235969134</c:v>
                </c:pt>
                <c:pt idx="21">
                  <c:v>30589.616475520146</c:v>
                </c:pt>
                <c:pt idx="22">
                  <c:v>31568.484202736789</c:v>
                </c:pt>
                <c:pt idx="23">
                  <c:v>32578.675697224364</c:v>
                </c:pt>
                <c:pt idx="24">
                  <c:v>33621.193319535538</c:v>
                </c:pt>
                <c:pt idx="25">
                  <c:v>34697.071505760679</c:v>
                </c:pt>
                <c:pt idx="26">
                  <c:v>35807.377793945023</c:v>
                </c:pt>
                <c:pt idx="27">
                  <c:v>36953.213883351258</c:v>
                </c:pt>
                <c:pt idx="28">
                  <c:v>38135.716727618499</c:v>
                </c:pt>
                <c:pt idx="29">
                  <c:v>39356.059662902291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37-4515-8499-C584D0611275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Variables'!$L$4:$L$33</c:f>
              <c:numCache>
                <c:formatCode>_-* #,##0_-;\-* #,##0_-;_-* "-"??_-;_-@_-</c:formatCode>
                <c:ptCount val="30"/>
                <c:pt idx="0">
                  <c:v>16120</c:v>
                </c:pt>
                <c:pt idx="1">
                  <c:v>16356.024922118379</c:v>
                </c:pt>
                <c:pt idx="2">
                  <c:v>16928.510903426792</c:v>
                </c:pt>
                <c:pt idx="3">
                  <c:v>17351.598130841121</c:v>
                </c:pt>
                <c:pt idx="4">
                  <c:v>17906.849271028041</c:v>
                </c:pt>
                <c:pt idx="5">
                  <c:v>18479.868447700937</c:v>
                </c:pt>
                <c:pt idx="6">
                  <c:v>19071.224238027367</c:v>
                </c:pt>
                <c:pt idx="7">
                  <c:v>19681.503413644241</c:v>
                </c:pt>
                <c:pt idx="8">
                  <c:v>20311.31152288086</c:v>
                </c:pt>
                <c:pt idx="9">
                  <c:v>20961.273491613043</c:v>
                </c:pt>
                <c:pt idx="10">
                  <c:v>21632.034243344657</c:v>
                </c:pt>
                <c:pt idx="11">
                  <c:v>22324.259339131688</c:v>
                </c:pt>
                <c:pt idx="12">
                  <c:v>23038.635637983898</c:v>
                </c:pt>
                <c:pt idx="13">
                  <c:v>23775.871978399384</c:v>
                </c:pt>
                <c:pt idx="14">
                  <c:v>24536.699881708162</c:v>
                </c:pt>
                <c:pt idx="15">
                  <c:v>25321.874277922831</c:v>
                </c:pt>
                <c:pt idx="16">
                  <c:v>26132.17425481636</c:v>
                </c:pt>
                <c:pt idx="17">
                  <c:v>26968.403830970481</c:v>
                </c:pt>
                <c:pt idx="18">
                  <c:v>27831.39275356154</c:v>
                </c:pt>
                <c:pt idx="19">
                  <c:v>28721.997321675513</c:v>
                </c:pt>
                <c:pt idx="20">
                  <c:v>29641.101235969134</c:v>
                </c:pt>
                <c:pt idx="21">
                  <c:v>30589.616475520146</c:v>
                </c:pt>
                <c:pt idx="22">
                  <c:v>31568.484202736789</c:v>
                </c:pt>
                <c:pt idx="23">
                  <c:v>32578.675697224364</c:v>
                </c:pt>
                <c:pt idx="24">
                  <c:v>33621.193319535538</c:v>
                </c:pt>
                <c:pt idx="25">
                  <c:v>34697.071505760679</c:v>
                </c:pt>
                <c:pt idx="26">
                  <c:v>35807.377793945023</c:v>
                </c:pt>
                <c:pt idx="27">
                  <c:v>36953.213883351258</c:v>
                </c:pt>
                <c:pt idx="28">
                  <c:v>38135.716727618499</c:v>
                </c:pt>
                <c:pt idx="29">
                  <c:v>39356.059662902291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37-4515-8499-C584D0611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Costs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Variables'!$F$4:$F$33</c:f>
              <c:numCache>
                <c:formatCode>_-* #,##0_-;\-* #,##0_-;_-* "-"??_-;_-@_-</c:formatCode>
                <c:ptCount val="30"/>
                <c:pt idx="0">
                  <c:v>14060.132</c:v>
                </c:pt>
                <c:pt idx="1">
                  <c:v>14310.196833237043</c:v>
                </c:pt>
                <c:pt idx="2">
                  <c:v>14710.164999808743</c:v>
                </c:pt>
                <c:pt idx="3">
                  <c:v>15141.68457091279</c:v>
                </c:pt>
                <c:pt idx="4">
                  <c:v>15601.210027221301</c:v>
                </c:pt>
                <c:pt idx="5">
                  <c:v>16134.889641270471</c:v>
                </c:pt>
                <c:pt idx="6">
                  <c:v>16687.11484238254</c:v>
                </c:pt>
                <c:pt idx="7">
                  <c:v>17244.727194117793</c:v>
                </c:pt>
                <c:pt idx="8">
                  <c:v>17744.752878379091</c:v>
                </c:pt>
                <c:pt idx="9">
                  <c:v>18258.52828740636</c:v>
                </c:pt>
                <c:pt idx="10">
                  <c:v>18730.40945353737</c:v>
                </c:pt>
                <c:pt idx="11">
                  <c:v>19209.868782615347</c:v>
                </c:pt>
                <c:pt idx="12">
                  <c:v>19676.855315005207</c:v>
                </c:pt>
                <c:pt idx="13">
                  <c:v>20165.214202633942</c:v>
                </c:pt>
                <c:pt idx="14">
                  <c:v>20663.083059155855</c:v>
                </c:pt>
                <c:pt idx="15">
                  <c:v>21113.544464372888</c:v>
                </c:pt>
                <c:pt idx="16">
                  <c:v>21590.094791055075</c:v>
                </c:pt>
                <c:pt idx="17">
                  <c:v>22105.351495092855</c:v>
                </c:pt>
                <c:pt idx="18">
                  <c:v>22652.377561347006</c:v>
                </c:pt>
                <c:pt idx="19">
                  <c:v>23238.262179710684</c:v>
                </c:pt>
                <c:pt idx="20">
                  <c:v>23857.419273083444</c:v>
                </c:pt>
                <c:pt idx="21">
                  <c:v>24513.683069990311</c:v>
                </c:pt>
                <c:pt idx="22">
                  <c:v>25202.337589042305</c:v>
                </c:pt>
                <c:pt idx="23">
                  <c:v>25925.15044325103</c:v>
                </c:pt>
                <c:pt idx="24">
                  <c:v>26677.905466945438</c:v>
                </c:pt>
                <c:pt idx="25">
                  <c:v>27460.980139657127</c:v>
                </c:pt>
                <c:pt idx="26">
                  <c:v>28270.524837943507</c:v>
                </c:pt>
                <c:pt idx="27">
                  <c:v>29106.118847182817</c:v>
                </c:pt>
                <c:pt idx="28">
                  <c:v>29964.47908270247</c:v>
                </c:pt>
                <c:pt idx="29">
                  <c:v>30845.088186890178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7C-41B2-866D-F4B07B8E4C04}"/>
            </c:ext>
          </c:extLst>
        </c:ser>
        <c:ser>
          <c:idx val="1"/>
          <c:order val="1"/>
          <c:tx>
            <c:v>Alternnative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Variables'!$M$4:$M$33</c:f>
              <c:numCache>
                <c:formatCode>_-* #,##0_-;\-* #,##0_-;_-* "-"??_-;_-@_-</c:formatCode>
                <c:ptCount val="30"/>
                <c:pt idx="0">
                  <c:v>14060.132</c:v>
                </c:pt>
                <c:pt idx="1">
                  <c:v>14310.196833237043</c:v>
                </c:pt>
                <c:pt idx="2">
                  <c:v>14710.164999808743</c:v>
                </c:pt>
                <c:pt idx="3">
                  <c:v>15141.68457091279</c:v>
                </c:pt>
                <c:pt idx="4">
                  <c:v>15601.210027221301</c:v>
                </c:pt>
                <c:pt idx="5">
                  <c:v>16134.889641270471</c:v>
                </c:pt>
                <c:pt idx="6">
                  <c:v>16687.11484238254</c:v>
                </c:pt>
                <c:pt idx="7">
                  <c:v>17244.727194117793</c:v>
                </c:pt>
                <c:pt idx="8">
                  <c:v>17744.752878379091</c:v>
                </c:pt>
                <c:pt idx="9">
                  <c:v>18258.52828740636</c:v>
                </c:pt>
                <c:pt idx="10">
                  <c:v>18730.40945353737</c:v>
                </c:pt>
                <c:pt idx="11">
                  <c:v>19209.868782615347</c:v>
                </c:pt>
                <c:pt idx="12">
                  <c:v>19676.855315005207</c:v>
                </c:pt>
                <c:pt idx="13">
                  <c:v>20165.214202633942</c:v>
                </c:pt>
                <c:pt idx="14">
                  <c:v>20663.083059155855</c:v>
                </c:pt>
                <c:pt idx="15">
                  <c:v>21113.544464372888</c:v>
                </c:pt>
                <c:pt idx="16">
                  <c:v>21590.094791055075</c:v>
                </c:pt>
                <c:pt idx="17">
                  <c:v>22105.351495092855</c:v>
                </c:pt>
                <c:pt idx="18">
                  <c:v>22652.377561347006</c:v>
                </c:pt>
                <c:pt idx="19">
                  <c:v>23238.262179710684</c:v>
                </c:pt>
                <c:pt idx="20">
                  <c:v>23857.419273083444</c:v>
                </c:pt>
                <c:pt idx="21">
                  <c:v>24513.683069990311</c:v>
                </c:pt>
                <c:pt idx="22">
                  <c:v>25202.337589042305</c:v>
                </c:pt>
                <c:pt idx="23">
                  <c:v>25925.15044325103</c:v>
                </c:pt>
                <c:pt idx="24">
                  <c:v>26677.905466945438</c:v>
                </c:pt>
                <c:pt idx="25">
                  <c:v>27460.980139657127</c:v>
                </c:pt>
                <c:pt idx="26">
                  <c:v>28270.524837943507</c:v>
                </c:pt>
                <c:pt idx="27">
                  <c:v>29106.118847182817</c:v>
                </c:pt>
                <c:pt idx="28">
                  <c:v>29964.47908270247</c:v>
                </c:pt>
                <c:pt idx="29">
                  <c:v>30845.088186890178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7C-41B2-866D-F4B07B8E4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Variables'!$G$4:$G$33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98-4A30-8B54-F24DB071A980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Variables'!$N$4:$N$33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8-4A30-8B54-F24DB071A9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Variables'!$H$4:$H$33</c:f>
              <c:numCache>
                <c:formatCode>#,##0.0000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9E-4381-8631-D23AE78AE257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Variables'!$O$4:$O$33</c:f>
              <c:numCache>
                <c:formatCode>_-* #,##0.00000_-;\-* #,##0.00000_-;_-* "-"??_-;_-@_-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9E-4381-8631-D23AE78AE2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  <c:min val="1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Baseline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38367894275789749"/>
          <c:y val="0.447586967327793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313338286054507E-2"/>
          <c:y val="2.2055016162161333E-2"/>
          <c:w val="0.75124606570145214"/>
          <c:h val="0.97794499999999995"/>
        </c:manualLayout>
      </c:layout>
      <c:doughnutChart>
        <c:varyColors val="1"/>
        <c:ser>
          <c:idx val="0"/>
          <c:order val="0"/>
          <c:tx>
            <c:v>Baseline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7C0-4F58-AC6B-406278C9C0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7C0-4F58-AC6B-406278C9C0B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7C0-4F58-AC6B-406278C9C0B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7C0-4F58-AC6B-406278C9C0B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7C0-4F58-AC6B-406278C9C0B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7C0-4F58-AC6B-406278C9C0B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7C0-4F58-AC6B-406278C9C0B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7C0-4F58-AC6B-406278C9C0B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7C0-4F58-AC6B-406278C9C0B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7C0-4F58-AC6B-406278C9C0B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B7C0-4F58-AC6B-406278C9C0B1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graphs!$D$3:$D$13</c:f>
              <c:numCache>
                <c:formatCode>General</c:formatCode>
                <c:ptCount val="11"/>
                <c:pt idx="0">
                  <c:v>3033.0720000000001</c:v>
                </c:pt>
                <c:pt idx="1">
                  <c:v>133.19999999999999</c:v>
                </c:pt>
                <c:pt idx="2">
                  <c:v>145.84</c:v>
                </c:pt>
                <c:pt idx="3">
                  <c:v>34.1</c:v>
                </c:pt>
                <c:pt idx="4">
                  <c:v>0</c:v>
                </c:pt>
                <c:pt idx="5">
                  <c:v>7.4399999999999995</c:v>
                </c:pt>
                <c:pt idx="6">
                  <c:v>6446.4000000000005</c:v>
                </c:pt>
                <c:pt idx="7">
                  <c:v>1386</c:v>
                </c:pt>
                <c:pt idx="8">
                  <c:v>900</c:v>
                </c:pt>
                <c:pt idx="9">
                  <c:v>39.68</c:v>
                </c:pt>
                <c:pt idx="10">
                  <c:v>1934.3999999999999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B7C0-4F58-AC6B-406278C9C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3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Alternative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40775064626468854"/>
          <c:y val="0.566901101008962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249180771754643"/>
          <c:y val="0.32768540252312223"/>
          <c:w val="0.61722379849848585"/>
          <c:h val="0.59737972447062326"/>
        </c:manualLayout>
      </c:layout>
      <c:doughnutChart>
        <c:varyColors val="1"/>
        <c:ser>
          <c:idx val="0"/>
          <c:order val="0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86A-4836-B1A5-A59B83D556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86A-4836-B1A5-A59B83D556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86A-4836-B1A5-A59B83D556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86A-4836-B1A5-A59B83D556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86A-4836-B1A5-A59B83D556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86A-4836-B1A5-A59B83D556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86A-4836-B1A5-A59B83D556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86A-4836-B1A5-A59B83D556E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86A-4836-B1A5-A59B83D556E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86A-4836-B1A5-A59B83D556E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86A-4836-B1A5-A59B83D556EE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graphs!$E$3:$E$13</c:f>
              <c:numCache>
                <c:formatCode>General</c:formatCode>
                <c:ptCount val="11"/>
                <c:pt idx="0">
                  <c:v>3033.0720000000001</c:v>
                </c:pt>
                <c:pt idx="1">
                  <c:v>133.19999999999999</c:v>
                </c:pt>
                <c:pt idx="2">
                  <c:v>145.84</c:v>
                </c:pt>
                <c:pt idx="3">
                  <c:v>34.1</c:v>
                </c:pt>
                <c:pt idx="4">
                  <c:v>0</c:v>
                </c:pt>
                <c:pt idx="5">
                  <c:v>7.4399999999999995</c:v>
                </c:pt>
                <c:pt idx="6">
                  <c:v>6446.4000000000005</c:v>
                </c:pt>
                <c:pt idx="7" formatCode="_-* #,##0_-;\-* #,##0_-;_-* &quot;-&quot;??_-;_-@_-">
                  <c:v>1386</c:v>
                </c:pt>
                <c:pt idx="8">
                  <c:v>900</c:v>
                </c:pt>
                <c:pt idx="9">
                  <c:v>39.68</c:v>
                </c:pt>
                <c:pt idx="10">
                  <c:v>1934.3999999999999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986A-4836-B1A5-A59B83D55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1088493018262641E-2"/>
          <c:y val="1.6926103985298757E-2"/>
          <c:w val="0.97891150698173734"/>
          <c:h val="0.278173853321701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16644133825402"/>
          <c:y val="5.4888253714386312E-2"/>
          <c:w val="0.76525677728652797"/>
          <c:h val="0.86981899729968526"/>
        </c:manualLayout>
      </c:layout>
      <c:doughnutChart>
        <c:varyColors val="1"/>
        <c:ser>
          <c:idx val="0"/>
          <c:order val="0"/>
          <c:tx>
            <c:strRef>
              <c:f>graphs!$D$17</c:f>
              <c:strCache>
                <c:ptCount val="1"/>
                <c:pt idx="0">
                  <c:v>Baseline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487-4A59-8681-D8DE857DF24A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487-4A59-8681-D8DE857DF24A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487-4A59-8681-D8DE857DF24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graphs!$D$18:$D$20</c:f>
              <c:numCache>
                <c:formatCode>0</c:formatCode>
                <c:ptCount val="3"/>
                <c:pt idx="0" formatCode="General">
                  <c:v>16120</c:v>
                </c:pt>
                <c:pt idx="1">
                  <c:v>14060.132</c:v>
                </c:pt>
                <c:pt idx="2">
                  <c:v>2059.8680000000004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87-4A59-8681-D8DE857DF24A}"/>
            </c:ext>
          </c:extLst>
        </c:ser>
        <c:ser>
          <c:idx val="1"/>
          <c:order val="1"/>
          <c:tx>
            <c:v>Alternative</c:v>
          </c:tx>
          <c:spPr>
            <a:scene3d>
              <a:camera prst="orthographicFront"/>
              <a:lightRig rig="brightRoom" dir="t"/>
            </a:scene3d>
            <a:sp3d prstMaterial="flat">
              <a:bevelT w="50800" h="101600" prst="softRound"/>
              <a:contourClr>
                <a:srgbClr val="000000"/>
              </a:contourClr>
            </a:sp3d>
          </c:spPr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softRound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76F3-4411-9B9B-23344260D45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softRound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76F3-4411-9B9B-23344260D45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softRound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76F3-4411-9B9B-23344260D45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graphs!$E$18:$E$20</c:f>
              <c:numCache>
                <c:formatCode>#,##0</c:formatCode>
                <c:ptCount val="3"/>
                <c:pt idx="0">
                  <c:v>16120</c:v>
                </c:pt>
                <c:pt idx="1">
                  <c:v>14060.132</c:v>
                </c:pt>
                <c:pt idx="2">
                  <c:v>2059.8680000000004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6F3-4411-9B9B-23344260D45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2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E8FEE2">
        <a:alpha val="20000"/>
      </a:srgb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Variables'!$N$4:$N$33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B-4023-A18D-AF78DB214D6D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Variables'!$G$4:$G$33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3B-4023-A18D-AF78DB214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Variables'!$O$4:$O$33</c:f>
              <c:numCache>
                <c:formatCode>_-* #,##0.00000_-;\-* #,##0.00000_-;_-* "-"??_-;_-@_-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B8-47C5-9C1F-D0CCE1C0CB77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Variables'!$H$4:$H$33</c:f>
              <c:numCache>
                <c:formatCode>#,##0.0000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B8-47C5-9C1F-D0CCE1C0C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Price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$/kg</a:t>
            </a:r>
            <a:endParaRPr lang="en-AU" sz="1400"/>
          </a:p>
        </c:rich>
      </c:tx>
      <c:layout>
        <c:manualLayout>
          <c:xMode val="edge"/>
          <c:yMode val="edge"/>
          <c:x val="1.1200033459689182E-2"/>
          <c:y val="8.8947303757934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Variables'!$V$4:$V$33</c:f>
              <c:numCache>
                <c:formatCode>_-* #,##0_-;\-* #,##0_-;_-* "-"??_-;_-@_-</c:formatCode>
                <c:ptCount val="30"/>
                <c:pt idx="0">
                  <c:v>3000</c:v>
                </c:pt>
                <c:pt idx="1">
                  <c:v>3043.9252336448599</c:v>
                </c:pt>
                <c:pt idx="2">
                  <c:v>3150.467289719626</c:v>
                </c:pt>
                <c:pt idx="3">
                  <c:v>3229.2056074766356</c:v>
                </c:pt>
                <c:pt idx="4">
                  <c:v>3332.5401869158877</c:v>
                </c:pt>
                <c:pt idx="5">
                  <c:v>3439.1814728971958</c:v>
                </c:pt>
                <c:pt idx="6">
                  <c:v>3549.2352800299059</c:v>
                </c:pt>
                <c:pt idx="7">
                  <c:v>3662.8108089908628</c:v>
                </c:pt>
                <c:pt idx="8">
                  <c:v>3780.0207548785702</c:v>
                </c:pt>
                <c:pt idx="9">
                  <c:v>3900.9814190346842</c:v>
                </c:pt>
                <c:pt idx="10">
                  <c:v>4025.8128244437944</c:v>
                </c:pt>
                <c:pt idx="11">
                  <c:v>4154.6388348259952</c:v>
                </c:pt>
                <c:pt idx="12">
                  <c:v>4287.5872775404268</c:v>
                </c:pt>
                <c:pt idx="13">
                  <c:v>4424.79007042172</c:v>
                </c:pt>
                <c:pt idx="14">
                  <c:v>4566.3833526752151</c:v>
                </c:pt>
                <c:pt idx="15">
                  <c:v>4712.507619960822</c:v>
                </c:pt>
                <c:pt idx="16">
                  <c:v>4863.3078637995686</c:v>
                </c:pt>
                <c:pt idx="17">
                  <c:v>5018.9337154411542</c:v>
                </c:pt>
                <c:pt idx="18">
                  <c:v>5179.5395943352714</c:v>
                </c:pt>
                <c:pt idx="19">
                  <c:v>5345.284861354</c:v>
                </c:pt>
                <c:pt idx="20">
                  <c:v>5516.3339769173281</c:v>
                </c:pt>
                <c:pt idx="21">
                  <c:v>5692.8566641786829</c:v>
                </c:pt>
                <c:pt idx="22">
                  <c:v>5875.028077432401</c:v>
                </c:pt>
                <c:pt idx="23">
                  <c:v>6063.0289759102379</c:v>
                </c:pt>
                <c:pt idx="24">
                  <c:v>6257.0459031393648</c:v>
                </c:pt>
                <c:pt idx="25">
                  <c:v>6457.2713720398242</c:v>
                </c:pt>
                <c:pt idx="26">
                  <c:v>6663.9040559450996</c:v>
                </c:pt>
                <c:pt idx="27">
                  <c:v>6877.1489857353426</c:v>
                </c:pt>
                <c:pt idx="28">
                  <c:v>7097.2177532788746</c:v>
                </c:pt>
                <c:pt idx="29">
                  <c:v>7324.3287213837984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7B-4713-84A9-945D0EAF5AE9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Variables'!$AB$4:$AB$33</c:f>
              <c:numCache>
                <c:formatCode>_-* #,##0_-;\-* #,##0_-;_-* "-"??_-;_-@_-</c:formatCode>
                <c:ptCount val="30"/>
                <c:pt idx="0">
                  <c:v>3000</c:v>
                </c:pt>
                <c:pt idx="1">
                  <c:v>3043.9252336448599</c:v>
                </c:pt>
                <c:pt idx="2">
                  <c:v>3150.467289719626</c:v>
                </c:pt>
                <c:pt idx="3">
                  <c:v>3229.2056074766356</c:v>
                </c:pt>
                <c:pt idx="4">
                  <c:v>3332.5401869158877</c:v>
                </c:pt>
                <c:pt idx="5">
                  <c:v>3439.1814728971958</c:v>
                </c:pt>
                <c:pt idx="6">
                  <c:v>3549.2352800299059</c:v>
                </c:pt>
                <c:pt idx="7">
                  <c:v>3662.8108089908628</c:v>
                </c:pt>
                <c:pt idx="8">
                  <c:v>3780.0207548785702</c:v>
                </c:pt>
                <c:pt idx="9">
                  <c:v>3900.9814190346842</c:v>
                </c:pt>
                <c:pt idx="10">
                  <c:v>4025.8128244437944</c:v>
                </c:pt>
                <c:pt idx="11">
                  <c:v>4154.6388348259952</c:v>
                </c:pt>
                <c:pt idx="12">
                  <c:v>4287.5872775404268</c:v>
                </c:pt>
                <c:pt idx="13">
                  <c:v>4424.79007042172</c:v>
                </c:pt>
                <c:pt idx="14">
                  <c:v>4566.3833526752151</c:v>
                </c:pt>
                <c:pt idx="15">
                  <c:v>4712.507619960822</c:v>
                </c:pt>
                <c:pt idx="16">
                  <c:v>4863.3078637995686</c:v>
                </c:pt>
                <c:pt idx="17">
                  <c:v>5018.9337154411542</c:v>
                </c:pt>
                <c:pt idx="18">
                  <c:v>5179.5395943352714</c:v>
                </c:pt>
                <c:pt idx="19">
                  <c:v>5345.284861354</c:v>
                </c:pt>
                <c:pt idx="20">
                  <c:v>5516.3339769173281</c:v>
                </c:pt>
                <c:pt idx="21">
                  <c:v>5692.8566641786829</c:v>
                </c:pt>
                <c:pt idx="22">
                  <c:v>5875.028077432401</c:v>
                </c:pt>
                <c:pt idx="23">
                  <c:v>6063.0289759102379</c:v>
                </c:pt>
                <c:pt idx="24">
                  <c:v>6257.0459031393648</c:v>
                </c:pt>
                <c:pt idx="25">
                  <c:v>6457.2713720398242</c:v>
                </c:pt>
                <c:pt idx="26">
                  <c:v>6663.9040559450996</c:v>
                </c:pt>
                <c:pt idx="27">
                  <c:v>6877.1489857353426</c:v>
                </c:pt>
                <c:pt idx="28">
                  <c:v>7097.2177532788746</c:v>
                </c:pt>
                <c:pt idx="29">
                  <c:v>7324.3287213837984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7B-4713-84A9-945D0EAF5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Yield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6.9871761779712587E-3"/>
          <c:y val="7.861455847035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'Grapes Margin - Baseline'!$F$7:$F$36</c:f>
              <c:numCache>
                <c:formatCode>0.0</c:formatCode>
                <c:ptCount val="30"/>
                <c:pt idx="0">
                  <c:v>15.4</c:v>
                </c:pt>
                <c:pt idx="1">
                  <c:v>15.4</c:v>
                </c:pt>
                <c:pt idx="2">
                  <c:v>15.4</c:v>
                </c:pt>
                <c:pt idx="3">
                  <c:v>15.4</c:v>
                </c:pt>
                <c:pt idx="4">
                  <c:v>15.4</c:v>
                </c:pt>
                <c:pt idx="5">
                  <c:v>15.4</c:v>
                </c:pt>
                <c:pt idx="6">
                  <c:v>15.4</c:v>
                </c:pt>
                <c:pt idx="7">
                  <c:v>15.4</c:v>
                </c:pt>
                <c:pt idx="8">
                  <c:v>15.4</c:v>
                </c:pt>
                <c:pt idx="9">
                  <c:v>15.4</c:v>
                </c:pt>
                <c:pt idx="10">
                  <c:v>15.4</c:v>
                </c:pt>
                <c:pt idx="11">
                  <c:v>15.4</c:v>
                </c:pt>
                <c:pt idx="12">
                  <c:v>15.4</c:v>
                </c:pt>
                <c:pt idx="13">
                  <c:v>15.4</c:v>
                </c:pt>
                <c:pt idx="14">
                  <c:v>15.4</c:v>
                </c:pt>
                <c:pt idx="15">
                  <c:v>15.4</c:v>
                </c:pt>
                <c:pt idx="16">
                  <c:v>15.4</c:v>
                </c:pt>
                <c:pt idx="17">
                  <c:v>15.4</c:v>
                </c:pt>
                <c:pt idx="18">
                  <c:v>15.4</c:v>
                </c:pt>
                <c:pt idx="19">
                  <c:v>15.4</c:v>
                </c:pt>
                <c:pt idx="20">
                  <c:v>15.4</c:v>
                </c:pt>
                <c:pt idx="21">
                  <c:v>15.4</c:v>
                </c:pt>
                <c:pt idx="22">
                  <c:v>15.4</c:v>
                </c:pt>
                <c:pt idx="23">
                  <c:v>15.4</c:v>
                </c:pt>
                <c:pt idx="24">
                  <c:v>15.4</c:v>
                </c:pt>
                <c:pt idx="25">
                  <c:v>15.4</c:v>
                </c:pt>
                <c:pt idx="26">
                  <c:v>15.4</c:v>
                </c:pt>
                <c:pt idx="27">
                  <c:v>15.4</c:v>
                </c:pt>
                <c:pt idx="28">
                  <c:v>15.4</c:v>
                </c:pt>
                <c:pt idx="29">
                  <c:v>15.4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FB-4403-81DC-97B1C6BDC2E7}"/>
            </c:ext>
          </c:extLst>
        </c:ser>
        <c:ser>
          <c:idx val="1"/>
          <c:order val="1"/>
          <c:tx>
            <c:v>"Alternative"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Variables'!$AC$4:$AC$33</c:f>
              <c:numCache>
                <c:formatCode>_-* #,##0_-;\-* #,##0_-;_-* "-"??_-;_-@_-</c:formatCode>
                <c:ptCount val="30"/>
                <c:pt idx="0">
                  <c:v>15.4</c:v>
                </c:pt>
                <c:pt idx="1">
                  <c:v>15.4</c:v>
                </c:pt>
                <c:pt idx="2">
                  <c:v>15.4</c:v>
                </c:pt>
                <c:pt idx="3">
                  <c:v>15.4</c:v>
                </c:pt>
                <c:pt idx="4">
                  <c:v>15.4</c:v>
                </c:pt>
                <c:pt idx="5">
                  <c:v>15.4</c:v>
                </c:pt>
                <c:pt idx="6">
                  <c:v>15.4</c:v>
                </c:pt>
                <c:pt idx="7">
                  <c:v>15.4</c:v>
                </c:pt>
                <c:pt idx="8">
                  <c:v>15.4</c:v>
                </c:pt>
                <c:pt idx="9">
                  <c:v>15.4</c:v>
                </c:pt>
                <c:pt idx="10">
                  <c:v>15.4</c:v>
                </c:pt>
                <c:pt idx="11">
                  <c:v>15.4</c:v>
                </c:pt>
                <c:pt idx="12">
                  <c:v>15.4</c:v>
                </c:pt>
                <c:pt idx="13">
                  <c:v>15.4</c:v>
                </c:pt>
                <c:pt idx="14">
                  <c:v>15.4</c:v>
                </c:pt>
                <c:pt idx="15">
                  <c:v>15.4</c:v>
                </c:pt>
                <c:pt idx="16">
                  <c:v>15.4</c:v>
                </c:pt>
                <c:pt idx="17">
                  <c:v>15.4</c:v>
                </c:pt>
                <c:pt idx="18">
                  <c:v>15.4</c:v>
                </c:pt>
                <c:pt idx="19">
                  <c:v>15.4</c:v>
                </c:pt>
                <c:pt idx="20">
                  <c:v>15.4</c:v>
                </c:pt>
                <c:pt idx="21">
                  <c:v>15.4</c:v>
                </c:pt>
                <c:pt idx="22">
                  <c:v>15.4</c:v>
                </c:pt>
                <c:pt idx="23">
                  <c:v>15.4</c:v>
                </c:pt>
                <c:pt idx="24">
                  <c:v>15.4</c:v>
                </c:pt>
                <c:pt idx="25">
                  <c:v>15.4</c:v>
                </c:pt>
                <c:pt idx="26">
                  <c:v>15.4</c:v>
                </c:pt>
                <c:pt idx="27">
                  <c:v>15.4</c:v>
                </c:pt>
                <c:pt idx="28">
                  <c:v>15.4</c:v>
                </c:pt>
                <c:pt idx="29">
                  <c:v>15.4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FB-4403-81DC-97B1C6BDC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  <c:max val="20"/>
          <c:min val="1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Gross Income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0191509018538"/>
          <c:y val="0.2527682449929581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Variables'!$X$4:$X$33</c:f>
              <c:numCache>
                <c:formatCode>_-* #,##0_-;\-* #,##0_-;_-* "-"??_-;_-@_-</c:formatCode>
                <c:ptCount val="30"/>
                <c:pt idx="0">
                  <c:v>46200</c:v>
                </c:pt>
                <c:pt idx="1">
                  <c:v>46876.448598130846</c:v>
                </c:pt>
                <c:pt idx="2">
                  <c:v>48517.196261682242</c:v>
                </c:pt>
                <c:pt idx="3">
                  <c:v>49729.766355140186</c:v>
                </c:pt>
                <c:pt idx="4">
                  <c:v>51321.118878504669</c:v>
                </c:pt>
                <c:pt idx="5">
                  <c:v>52963.394682616818</c:v>
                </c:pt>
                <c:pt idx="6">
                  <c:v>54658.223312460548</c:v>
                </c:pt>
                <c:pt idx="7">
                  <c:v>56407.28645845929</c:v>
                </c:pt>
                <c:pt idx="8">
                  <c:v>58212.319625129981</c:v>
                </c:pt>
                <c:pt idx="9">
                  <c:v>60075.113853134135</c:v>
                </c:pt>
                <c:pt idx="10">
                  <c:v>61997.517496434433</c:v>
                </c:pt>
                <c:pt idx="11">
                  <c:v>63981.43805632033</c:v>
                </c:pt>
                <c:pt idx="12">
                  <c:v>66028.844074122579</c:v>
                </c:pt>
                <c:pt idx="13">
                  <c:v>68141.767084494495</c:v>
                </c:pt>
                <c:pt idx="14">
                  <c:v>70322.303631198316</c:v>
                </c:pt>
                <c:pt idx="15">
                  <c:v>72572.617347396663</c:v>
                </c:pt>
                <c:pt idx="16">
                  <c:v>74894.94110251336</c:v>
                </c:pt>
                <c:pt idx="17">
                  <c:v>77291.579217793769</c:v>
                </c:pt>
                <c:pt idx="18">
                  <c:v>79764.909752763182</c:v>
                </c:pt>
                <c:pt idx="19">
                  <c:v>82317.386864851607</c:v>
                </c:pt>
                <c:pt idx="20">
                  <c:v>84951.543244526853</c:v>
                </c:pt>
                <c:pt idx="21">
                  <c:v>87669.992628351712</c:v>
                </c:pt>
                <c:pt idx="22">
                  <c:v>90475.432392458984</c:v>
                </c:pt>
                <c:pt idx="23">
                  <c:v>93370.646229017671</c:v>
                </c:pt>
                <c:pt idx="24">
                  <c:v>96358.506908346215</c:v>
                </c:pt>
                <c:pt idx="25">
                  <c:v>99441.979129413288</c:v>
                </c:pt>
                <c:pt idx="26">
                  <c:v>102624.12246155454</c:v>
                </c:pt>
                <c:pt idx="27">
                  <c:v>105908.09438032428</c:v>
                </c:pt>
                <c:pt idx="28">
                  <c:v>109297.15340049467</c:v>
                </c:pt>
                <c:pt idx="29">
                  <c:v>112794.6623093105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DC-47D9-9A11-478ED3AA48DB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Variables'!$AD$4:$AD$33</c:f>
              <c:numCache>
                <c:formatCode>_-* #,##0_-;\-* #,##0_-;_-* "-"??_-;_-@_-</c:formatCode>
                <c:ptCount val="30"/>
                <c:pt idx="0">
                  <c:v>46200</c:v>
                </c:pt>
                <c:pt idx="1">
                  <c:v>46876.448598130846</c:v>
                </c:pt>
                <c:pt idx="2">
                  <c:v>48517.196261682242</c:v>
                </c:pt>
                <c:pt idx="3">
                  <c:v>49729.766355140186</c:v>
                </c:pt>
                <c:pt idx="4">
                  <c:v>51321.118878504669</c:v>
                </c:pt>
                <c:pt idx="5">
                  <c:v>52963.394682616818</c:v>
                </c:pt>
                <c:pt idx="6">
                  <c:v>54658.223312460548</c:v>
                </c:pt>
                <c:pt idx="7">
                  <c:v>56407.28645845929</c:v>
                </c:pt>
                <c:pt idx="8">
                  <c:v>58212.319625129981</c:v>
                </c:pt>
                <c:pt idx="9">
                  <c:v>60075.113853134135</c:v>
                </c:pt>
                <c:pt idx="10">
                  <c:v>61997.517496434433</c:v>
                </c:pt>
                <c:pt idx="11">
                  <c:v>63981.43805632033</c:v>
                </c:pt>
                <c:pt idx="12">
                  <c:v>66028.844074122579</c:v>
                </c:pt>
                <c:pt idx="13">
                  <c:v>68141.767084494495</c:v>
                </c:pt>
                <c:pt idx="14">
                  <c:v>70322.303631198316</c:v>
                </c:pt>
                <c:pt idx="15">
                  <c:v>72572.617347396663</c:v>
                </c:pt>
                <c:pt idx="16">
                  <c:v>74894.94110251336</c:v>
                </c:pt>
                <c:pt idx="17">
                  <c:v>77291.579217793769</c:v>
                </c:pt>
                <c:pt idx="18">
                  <c:v>79764.909752763182</c:v>
                </c:pt>
                <c:pt idx="19">
                  <c:v>82317.386864851607</c:v>
                </c:pt>
                <c:pt idx="20">
                  <c:v>84951.543244526853</c:v>
                </c:pt>
                <c:pt idx="21">
                  <c:v>87669.992628351712</c:v>
                </c:pt>
                <c:pt idx="22">
                  <c:v>90475.432392458984</c:v>
                </c:pt>
                <c:pt idx="23">
                  <c:v>93370.646229017671</c:v>
                </c:pt>
                <c:pt idx="24">
                  <c:v>96358.506908346215</c:v>
                </c:pt>
                <c:pt idx="25">
                  <c:v>99441.979129413288</c:v>
                </c:pt>
                <c:pt idx="26">
                  <c:v>102624.12246155454</c:v>
                </c:pt>
                <c:pt idx="27">
                  <c:v>105908.09438032428</c:v>
                </c:pt>
                <c:pt idx="28">
                  <c:v>109297.15340049467</c:v>
                </c:pt>
                <c:pt idx="29">
                  <c:v>112794.6623093105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DC-47D9-9A11-478ED3AA4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Costs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Variables'!$Y$4:$Y$33</c:f>
              <c:numCache>
                <c:formatCode>_-* #,##0_-;\-* #,##0_-;_-* "-"??_-;_-@_-</c:formatCode>
                <c:ptCount val="30"/>
                <c:pt idx="0">
                  <c:v>17595</c:v>
                </c:pt>
                <c:pt idx="1">
                  <c:v>18079.740766355142</c:v>
                </c:pt>
                <c:pt idx="2">
                  <c:v>18613.280951956564</c:v>
                </c:pt>
                <c:pt idx="3">
                  <c:v>19199.633998922331</c:v>
                </c:pt>
                <c:pt idx="4">
                  <c:v>19795.359919859122</c:v>
                </c:pt>
                <c:pt idx="5">
                  <c:v>20444.544359122872</c:v>
                </c:pt>
                <c:pt idx="6">
                  <c:v>21115.35194045063</c:v>
                </c:pt>
                <c:pt idx="7">
                  <c:v>21800.518243835966</c:v>
                </c:pt>
                <c:pt idx="8">
                  <c:v>22463.968584801711</c:v>
                </c:pt>
                <c:pt idx="9">
                  <c:v>23147.346931437911</c:v>
                </c:pt>
                <c:pt idx="10">
                  <c:v>23818.842783475</c:v>
                </c:pt>
                <c:pt idx="11">
                  <c:v>24507.474519538078</c:v>
                </c:pt>
                <c:pt idx="12">
                  <c:v>25202.049408688345</c:v>
                </c:pt>
                <c:pt idx="13">
                  <c:v>25922.570162779331</c:v>
                </c:pt>
                <c:pt idx="14">
                  <c:v>26662.608202734344</c:v>
                </c:pt>
                <c:pt idx="15">
                  <c:v>27389.681605752608</c:v>
                </c:pt>
                <c:pt idx="16">
                  <c:v>28146.775612024496</c:v>
                </c:pt>
                <c:pt idx="17">
                  <c:v>28941.667882807735</c:v>
                </c:pt>
                <c:pt idx="18">
                  <c:v>29770.837838235235</c:v>
                </c:pt>
                <c:pt idx="19">
                  <c:v>30638.89573877319</c:v>
                </c:pt>
                <c:pt idx="20">
                  <c:v>31543.134661963606</c:v>
                </c:pt>
                <c:pt idx="21">
                  <c:v>32486.314740745504</c:v>
                </c:pt>
                <c:pt idx="22">
                  <c:v>33466.266595869129</c:v>
                </c:pt>
                <c:pt idx="23">
                  <c:v>34484.589918528072</c:v>
                </c:pt>
                <c:pt idx="24">
                  <c:v>35539.440861460171</c:v>
                </c:pt>
                <c:pt idx="25">
                  <c:v>36631.652353436984</c:v>
                </c:pt>
                <c:pt idx="26">
                  <c:v>37759.631335883751</c:v>
                </c:pt>
                <c:pt idx="27">
                  <c:v>38923.788890003387</c:v>
                </c:pt>
                <c:pt idx="28">
                  <c:v>40122.900974588476</c:v>
                </c:pt>
                <c:pt idx="29">
                  <c:v>41357.365314298921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CB-4322-8C33-B58F4424C871}"/>
            </c:ext>
          </c:extLst>
        </c:ser>
        <c:ser>
          <c:idx val="1"/>
          <c:order val="1"/>
          <c:tx>
            <c:v>Alternnative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Variables'!$AE$4:$AE$33</c:f>
              <c:numCache>
                <c:formatCode>_-* #,##0_-;\-* #,##0_-;_-* "-"??_-;_-@_-</c:formatCode>
                <c:ptCount val="30"/>
                <c:pt idx="0">
                  <c:v>17595.48</c:v>
                </c:pt>
                <c:pt idx="1">
                  <c:v>18080.218148173324</c:v>
                </c:pt>
                <c:pt idx="2">
                  <c:v>18613.763634554009</c:v>
                </c:pt>
                <c:pt idx="3">
                  <c:v>19200.131140665613</c:v>
                </c:pt>
                <c:pt idx="4">
                  <c:v>19795.869564923225</c:v>
                </c:pt>
                <c:pt idx="5">
                  <c:v>20445.075435371629</c:v>
                </c:pt>
                <c:pt idx="6">
                  <c:v>21115.905344237319</c:v>
                </c:pt>
                <c:pt idx="7">
                  <c:v>21801.092927545804</c:v>
                </c:pt>
                <c:pt idx="8">
                  <c:v>22464.554409239143</c:v>
                </c:pt>
                <c:pt idx="9">
                  <c:v>23147.943930195841</c:v>
                </c:pt>
                <c:pt idx="10">
                  <c:v>23819.442946213901</c:v>
                </c:pt>
                <c:pt idx="11">
                  <c:v>24508.076868501234</c:v>
                </c:pt>
                <c:pt idx="12">
                  <c:v>25202.650023819442</c:v>
                </c:pt>
                <c:pt idx="13">
                  <c:v>25923.169910778015</c:v>
                </c:pt>
                <c:pt idx="14">
                  <c:v>26663.206178320572</c:v>
                </c:pt>
                <c:pt idx="15">
                  <c:v>27390.268666460215</c:v>
                </c:pt>
                <c:pt idx="16">
                  <c:v>28147.353083185873</c:v>
                </c:pt>
                <c:pt idx="17">
                  <c:v>28942.238822331696</c:v>
                </c:pt>
                <c:pt idx="18">
                  <c:v>29771.404229125576</c:v>
                </c:pt>
                <c:pt idx="19">
                  <c:v>30639.46049857443</c:v>
                </c:pt>
                <c:pt idx="20">
                  <c:v>31543.699821911432</c:v>
                </c:pt>
                <c:pt idx="21">
                  <c:v>32486.882794349578</c:v>
                </c:pt>
                <c:pt idx="22">
                  <c:v>33466.839269614175</c:v>
                </c:pt>
                <c:pt idx="23">
                  <c:v>34485.169099020954</c:v>
                </c:pt>
                <c:pt idx="24">
                  <c:v>35540.027734092189</c:v>
                </c:pt>
                <c:pt idx="25">
                  <c:v>36632.248058237295</c:v>
                </c:pt>
                <c:pt idx="26">
                  <c:v>37760.23635797498</c:v>
                </c:pt>
                <c:pt idx="27">
                  <c:v>38924.403548177906</c:v>
                </c:pt>
                <c:pt idx="28">
                  <c:v>40123.525007322125</c:v>
                </c:pt>
                <c:pt idx="29">
                  <c:v>41357.998272982986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CB-4322-8C33-B58F4424C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Variables'!$Z$4:$Z$33</c:f>
              <c:numCache>
                <c:formatCode>_-* #,##0_-;\-* #,##0_-;_-* "-"??_-;_-@_-</c:formatCode>
                <c:ptCount val="30"/>
                <c:pt idx="0">
                  <c:v>28605</c:v>
                </c:pt>
                <c:pt idx="1">
                  <c:v>28796.707831775704</c:v>
                </c:pt>
                <c:pt idx="2">
                  <c:v>29903.915309725679</c:v>
                </c:pt>
                <c:pt idx="3">
                  <c:v>30530.132356217855</c:v>
                </c:pt>
                <c:pt idx="4">
                  <c:v>31525.758958645547</c:v>
                </c:pt>
                <c:pt idx="5">
                  <c:v>32518.850323493945</c:v>
                </c:pt>
                <c:pt idx="6">
                  <c:v>33542.871372009919</c:v>
                </c:pt>
                <c:pt idx="7">
                  <c:v>34606.768214623327</c:v>
                </c:pt>
                <c:pt idx="8">
                  <c:v>35748.351040328271</c:v>
                </c:pt>
                <c:pt idx="9">
                  <c:v>36927.766921696224</c:v>
                </c:pt>
                <c:pt idx="10">
                  <c:v>38178.67471295943</c:v>
                </c:pt>
                <c:pt idx="11">
                  <c:v>39473.963536782248</c:v>
                </c:pt>
                <c:pt idx="12">
                  <c:v>40826.794665434238</c:v>
                </c:pt>
                <c:pt idx="13">
                  <c:v>42219.196921715164</c:v>
                </c:pt>
                <c:pt idx="14">
                  <c:v>43659.695428463972</c:v>
                </c:pt>
                <c:pt idx="15">
                  <c:v>45182.935741644054</c:v>
                </c:pt>
                <c:pt idx="16">
                  <c:v>46748.165490488864</c:v>
                </c:pt>
                <c:pt idx="17">
                  <c:v>48349.911334986034</c:v>
                </c:pt>
                <c:pt idx="18">
                  <c:v>49994.071914527944</c:v>
                </c:pt>
                <c:pt idx="19">
                  <c:v>51678.491126078414</c:v>
                </c:pt>
                <c:pt idx="20">
                  <c:v>53408.40858256325</c:v>
                </c:pt>
                <c:pt idx="21">
                  <c:v>55183.677887606209</c:v>
                </c:pt>
                <c:pt idx="22">
                  <c:v>57009.165796589856</c:v>
                </c:pt>
                <c:pt idx="23">
                  <c:v>58886.056310489599</c:v>
                </c:pt>
                <c:pt idx="24">
                  <c:v>60819.066046886044</c:v>
                </c:pt>
                <c:pt idx="25">
                  <c:v>62810.326775976304</c:v>
                </c:pt>
                <c:pt idx="26">
                  <c:v>64864.491125670786</c:v>
                </c:pt>
                <c:pt idx="27">
                  <c:v>66984.305490320898</c:v>
                </c:pt>
                <c:pt idx="28">
                  <c:v>69174.25242590619</c:v>
                </c:pt>
                <c:pt idx="29">
                  <c:v>71437.29699501158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A9-421C-9EC2-05A598E33FAE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Variables'!$AF$4:$AF$33</c:f>
              <c:numCache>
                <c:formatCode>_-* #,##0_-;\-* #,##0_-;_-* "-"??_-;_-@_-</c:formatCode>
                <c:ptCount val="30"/>
                <c:pt idx="0">
                  <c:v>28604.52</c:v>
                </c:pt>
                <c:pt idx="1">
                  <c:v>28796.230449957522</c:v>
                </c:pt>
                <c:pt idx="2">
                  <c:v>29903.432627128233</c:v>
                </c:pt>
                <c:pt idx="3">
                  <c:v>30529.635214474572</c:v>
                </c:pt>
                <c:pt idx="4">
                  <c:v>31525.249313581444</c:v>
                </c:pt>
                <c:pt idx="5">
                  <c:v>32518.319247245188</c:v>
                </c:pt>
                <c:pt idx="6">
                  <c:v>33542.317968223229</c:v>
                </c:pt>
                <c:pt idx="7">
                  <c:v>34606.193530913486</c:v>
                </c:pt>
                <c:pt idx="8">
                  <c:v>35747.765215890839</c:v>
                </c:pt>
                <c:pt idx="9">
                  <c:v>36927.169922938294</c:v>
                </c:pt>
                <c:pt idx="10">
                  <c:v>38178.074550220532</c:v>
                </c:pt>
                <c:pt idx="11">
                  <c:v>39473.3611878191</c:v>
                </c:pt>
                <c:pt idx="12">
                  <c:v>40826.194050303136</c:v>
                </c:pt>
                <c:pt idx="13">
                  <c:v>42218.59717371648</c:v>
                </c:pt>
                <c:pt idx="14">
                  <c:v>43659.097452877744</c:v>
                </c:pt>
                <c:pt idx="15">
                  <c:v>45182.348680936448</c:v>
                </c:pt>
                <c:pt idx="16">
                  <c:v>46747.588019327486</c:v>
                </c:pt>
                <c:pt idx="17">
                  <c:v>48349.340395462074</c:v>
                </c:pt>
                <c:pt idx="18">
                  <c:v>49993.505523637607</c:v>
                </c:pt>
                <c:pt idx="19">
                  <c:v>51677.926366277177</c:v>
                </c:pt>
                <c:pt idx="20">
                  <c:v>53407.84342261542</c:v>
                </c:pt>
                <c:pt idx="21">
                  <c:v>55183.109834002134</c:v>
                </c:pt>
                <c:pt idx="22">
                  <c:v>57008.59312284481</c:v>
                </c:pt>
                <c:pt idx="23">
                  <c:v>58885.477129996718</c:v>
                </c:pt>
                <c:pt idx="24">
                  <c:v>60818.479174254026</c:v>
                </c:pt>
                <c:pt idx="25">
                  <c:v>62809.731071175993</c:v>
                </c:pt>
                <c:pt idx="26">
                  <c:v>64863.886103579556</c:v>
                </c:pt>
                <c:pt idx="27">
                  <c:v>66983.690832146385</c:v>
                </c:pt>
                <c:pt idx="28">
                  <c:v>69173.628393172548</c:v>
                </c:pt>
                <c:pt idx="29">
                  <c:v>71436.664036327507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A9-421C-9EC2-05A598E33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Variables'!$AA$4:$AA$33</c:f>
              <c:numCache>
                <c:formatCode>_-* #,##0_-;\-* #,##0_-;_-* "-"??_-;_-@_-</c:formatCode>
                <c:ptCount val="30"/>
                <c:pt idx="0">
                  <c:v>5.6056868790681742</c:v>
                </c:pt>
                <c:pt idx="1">
                  <c:v>5.678835620650081</c:v>
                </c:pt>
                <c:pt idx="2">
                  <c:v>5.6481767475288391</c:v>
                </c:pt>
                <c:pt idx="3">
                  <c:v>5.6858559991395046</c:v>
                </c:pt>
                <c:pt idx="4">
                  <c:v>5.6810024813476172</c:v>
                </c:pt>
                <c:pt idx="5">
                  <c:v>5.6865792485063569</c:v>
                </c:pt>
                <c:pt idx="6">
                  <c:v>5.6922278682320542</c:v>
                </c:pt>
                <c:pt idx="7">
                  <c:v>5.6957064006479863</c:v>
                </c:pt>
                <c:pt idx="8">
                  <c:v>5.6872140192270022</c:v>
                </c:pt>
                <c:pt idx="9">
                  <c:v>5.6786435120826013</c:v>
                </c:pt>
                <c:pt idx="10">
                  <c:v>5.661727999879508</c:v>
                </c:pt>
                <c:pt idx="11">
                  <c:v>5.6442639138697039</c:v>
                </c:pt>
                <c:pt idx="12">
                  <c:v>5.6234891006506835</c:v>
                </c:pt>
                <c:pt idx="13">
                  <c:v>5.6042251224718731</c:v>
                </c:pt>
                <c:pt idx="14">
                  <c:v>5.5847655032417896</c:v>
                </c:pt>
                <c:pt idx="15">
                  <c:v>5.5579270360005033</c:v>
                </c:pt>
                <c:pt idx="16">
                  <c:v>5.5333507165946383</c:v>
                </c:pt>
                <c:pt idx="17">
                  <c:v>5.5123161799210019</c:v>
                </c:pt>
                <c:pt idx="18">
                  <c:v>5.4936891741421441</c:v>
                </c:pt>
                <c:pt idx="19">
                  <c:v>5.4780149334690522</c:v>
                </c:pt>
                <c:pt idx="20">
                  <c:v>5.4643924363749408</c:v>
                </c:pt>
                <c:pt idx="21">
                  <c:v>5.4529980673702854</c:v>
                </c:pt>
                <c:pt idx="22">
                  <c:v>5.443109676396932</c:v>
                </c:pt>
                <c:pt idx="23">
                  <c:v>5.4347161837336335</c:v>
                </c:pt>
                <c:pt idx="24">
                  <c:v>5.4272303402566733</c:v>
                </c:pt>
                <c:pt idx="25">
                  <c:v>5.4205504023515392</c:v>
                </c:pt>
                <c:pt idx="26">
                  <c:v>5.4142040703769396</c:v>
                </c:pt>
                <c:pt idx="27">
                  <c:v>5.4080676004179749</c:v>
                </c:pt>
                <c:pt idx="28">
                  <c:v>5.4017897305143387</c:v>
                </c:pt>
                <c:pt idx="29">
                  <c:v>5.3952841874587767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5C-495A-8483-B2F2A7C51EEF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Variables'!$AG$4:$AG$33</c:f>
              <c:numCache>
                <c:formatCode>_-* #,##0_-;\-* #,##0_-;_-* "-"??_-;_-@_-</c:formatCode>
                <c:ptCount val="30"/>
                <c:pt idx="0">
                  <c:v>5.6058513189448442</c:v>
                </c:pt>
                <c:pt idx="1">
                  <c:v>5.6789968609645722</c:v>
                </c:pt>
                <c:pt idx="2">
                  <c:v>5.6483342339522524</c:v>
                </c:pt>
                <c:pt idx="3">
                  <c:v>5.6860142606122501</c:v>
                </c:pt>
                <c:pt idx="4">
                  <c:v>5.6811596753395968</c:v>
                </c:pt>
                <c:pt idx="5">
                  <c:v>5.6867379567974439</c:v>
                </c:pt>
                <c:pt idx="6">
                  <c:v>5.6923881045289839</c:v>
                </c:pt>
                <c:pt idx="7">
                  <c:v>5.695867622933628</c:v>
                </c:pt>
                <c:pt idx="8">
                  <c:v>5.6873732556521359</c:v>
                </c:pt>
                <c:pt idx="9">
                  <c:v>5.6788007395440898</c:v>
                </c:pt>
                <c:pt idx="10">
                  <c:v>5.6618811457518081</c:v>
                </c:pt>
                <c:pt idx="11">
                  <c:v>5.644412838640136</c:v>
                </c:pt>
                <c:pt idx="12">
                  <c:v>5.6236329800849347</c:v>
                </c:pt>
                <c:pt idx="13">
                  <c:v>5.6043643278706012</c:v>
                </c:pt>
                <c:pt idx="14">
                  <c:v>5.5848999829153554</c:v>
                </c:pt>
                <c:pt idx="15">
                  <c:v>5.5580549573985536</c:v>
                </c:pt>
                <c:pt idx="16">
                  <c:v>5.5334726375929089</c:v>
                </c:pt>
                <c:pt idx="17">
                  <c:v>5.5124329757535735</c:v>
                </c:pt>
                <c:pt idx="18">
                  <c:v>5.4938014389141694</c:v>
                </c:pt>
                <c:pt idx="19">
                  <c:v>5.4781233965554055</c:v>
                </c:pt>
                <c:pt idx="20">
                  <c:v>5.4644976038416431</c:v>
                </c:pt>
                <c:pt idx="21">
                  <c:v>5.4531004890972969</c:v>
                </c:pt>
                <c:pt idx="22">
                  <c:v>5.443209723298394</c:v>
                </c:pt>
                <c:pt idx="23">
                  <c:v>5.4348142240537891</c:v>
                </c:pt>
                <c:pt idx="24">
                  <c:v>5.4273265967155231</c:v>
                </c:pt>
                <c:pt idx="25">
                  <c:v>5.4206450725157538</c:v>
                </c:pt>
                <c:pt idx="26">
                  <c:v>5.4142972347841978</c:v>
                </c:pt>
                <c:pt idx="27">
                  <c:v>5.4081593089935236</c:v>
                </c:pt>
                <c:pt idx="28">
                  <c:v>5.4018799461594389</c:v>
                </c:pt>
                <c:pt idx="29">
                  <c:v>5.3953728517483226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5C-495A-8483-B2F2A7C51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Baseline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38367894275789749"/>
          <c:y val="0.447586967327793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313338286054507E-2"/>
          <c:y val="2.2055016162161333E-2"/>
          <c:w val="0.75124606570145214"/>
          <c:h val="0.97794499999999995"/>
        </c:manualLayout>
      </c:layout>
      <c:doughnutChart>
        <c:varyColors val="1"/>
        <c:ser>
          <c:idx val="0"/>
          <c:order val="0"/>
          <c:tx>
            <c:v>Baseline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490-4D50-9AA1-D7B5665DD9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490-4D50-9AA1-D7B5665DD92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490-4D50-9AA1-D7B5665DD92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490-4D50-9AA1-D7B5665DD92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490-4D50-9AA1-D7B5665DD92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490-4D50-9AA1-D7B5665DD92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490-4D50-9AA1-D7B5665DD92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490-4D50-9AA1-D7B5665DD92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490-4D50-9AA1-D7B5665DD92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490-4D50-9AA1-D7B5665DD929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graphs!$D$26:$D$35</c:f>
              <c:numCache>
                <c:formatCode>0</c:formatCode>
                <c:ptCount val="10"/>
                <c:pt idx="0">
                  <c:v>435.99999999999994</c:v>
                </c:pt>
                <c:pt idx="1">
                  <c:v>200</c:v>
                </c:pt>
                <c:pt idx="2">
                  <c:v>100</c:v>
                </c:pt>
                <c:pt idx="3" formatCode="#,##0">
                  <c:v>1200</c:v>
                </c:pt>
                <c:pt idx="4">
                  <c:v>1078</c:v>
                </c:pt>
                <c:pt idx="5" formatCode="#,##0">
                  <c:v>7020</c:v>
                </c:pt>
                <c:pt idx="6">
                  <c:v>49.5</c:v>
                </c:pt>
                <c:pt idx="7" formatCode="#,##0">
                  <c:v>5197.5</c:v>
                </c:pt>
                <c:pt idx="8" formatCode="#,##0">
                  <c:v>2160</c:v>
                </c:pt>
                <c:pt idx="9">
                  <c:v>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B490-4D50-9AA1-D7B5665DD9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3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Alternative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40775064626468854"/>
          <c:y val="0.566901101008962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249180771754643"/>
          <c:y val="0.32768540252312223"/>
          <c:w val="0.61722379849848585"/>
          <c:h val="0.59737972447062326"/>
        </c:manualLayout>
      </c:layout>
      <c:doughnutChart>
        <c:varyColors val="1"/>
        <c:ser>
          <c:idx val="0"/>
          <c:order val="0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BC5-4286-BB8D-29469744938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BC5-4286-BB8D-29469744938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BC5-4286-BB8D-29469744938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BC5-4286-BB8D-29469744938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BC5-4286-BB8D-29469744938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BC5-4286-BB8D-29469744938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BC5-4286-BB8D-29469744938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BC5-4286-BB8D-29469744938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BC5-4286-BB8D-29469744938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BC5-4286-BB8D-294697449383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graphs!$E$26:$E$35</c:f>
              <c:numCache>
                <c:formatCode>0</c:formatCode>
                <c:ptCount val="10"/>
                <c:pt idx="0">
                  <c:v>436.48</c:v>
                </c:pt>
                <c:pt idx="1">
                  <c:v>200</c:v>
                </c:pt>
                <c:pt idx="2">
                  <c:v>100</c:v>
                </c:pt>
                <c:pt idx="3" formatCode="#,##0">
                  <c:v>1200</c:v>
                </c:pt>
                <c:pt idx="4">
                  <c:v>1078</c:v>
                </c:pt>
                <c:pt idx="5" formatCode="#,##0">
                  <c:v>7020</c:v>
                </c:pt>
                <c:pt idx="6">
                  <c:v>49.5</c:v>
                </c:pt>
                <c:pt idx="7" formatCode="#,##0">
                  <c:v>5197.5</c:v>
                </c:pt>
                <c:pt idx="8" formatCode="#,##0">
                  <c:v>2160</c:v>
                </c:pt>
                <c:pt idx="9">
                  <c:v>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BC5-4286-BB8D-2946974493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1088493018262641E-2"/>
          <c:y val="1.6926103985298757E-2"/>
          <c:w val="0.97891150698173734"/>
          <c:h val="0.278173853321701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20902555349653"/>
          <c:y val="6.5081539966283075E-2"/>
          <c:w val="0.76525677728652797"/>
          <c:h val="0.86981899729968526"/>
        </c:manualLayout>
      </c:layout>
      <c:doughnutChart>
        <c:varyColors val="1"/>
        <c:ser>
          <c:idx val="0"/>
          <c:order val="0"/>
          <c:tx>
            <c:strRef>
              <c:f>graphs!$D$17</c:f>
              <c:strCache>
                <c:ptCount val="1"/>
                <c:pt idx="0">
                  <c:v>Baseline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B67-41CD-A705-8C0DE21FC99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B67-41CD-A705-8C0DE21FC99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B67-41CD-A705-8C0DE21FC9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graphs!$D$40:$D$42</c:f>
              <c:numCache>
                <c:formatCode>0</c:formatCode>
                <c:ptCount val="3"/>
                <c:pt idx="0" formatCode="#,##0">
                  <c:v>46200</c:v>
                </c:pt>
                <c:pt idx="1">
                  <c:v>17595</c:v>
                </c:pt>
                <c:pt idx="2">
                  <c:v>28605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B67-41CD-A705-8C0DE21FC99B}"/>
            </c:ext>
          </c:extLst>
        </c:ser>
        <c:ser>
          <c:idx val="1"/>
          <c:order val="1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4B67-41CD-A705-8C0DE21FC99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4B67-41CD-A705-8C0DE21FC99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4B67-41CD-A705-8C0DE21FC9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graphs!$E$40:$E$42</c:f>
              <c:numCache>
                <c:formatCode>0</c:formatCode>
                <c:ptCount val="3"/>
                <c:pt idx="0" formatCode="#,##0">
                  <c:v>46200</c:v>
                </c:pt>
                <c:pt idx="1">
                  <c:v>17595.48</c:v>
                </c:pt>
                <c:pt idx="2">
                  <c:v>28604.52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B67-41CD-A705-8C0DE21FC99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2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E8FEE2">
        <a:alpha val="20000"/>
      </a:srgb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Variables'!$N$4:$N$33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C4-4FE0-879C-187D26E21CD3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Variables'!$G$4:$G$33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C4-4FE0-879C-187D26E21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Variables'!$O$4:$O$33</c:f>
              <c:numCache>
                <c:formatCode>_-* #,##0.00000_-;\-* #,##0.00000_-;_-* "-"??_-;_-@_-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EF-4872-B107-2460164793C5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Variables'!$H$4:$H$33</c:f>
              <c:numCache>
                <c:formatCode>#,##0.0000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EF-4872-B107-246016479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Price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$/kg</a:t>
            </a:r>
            <a:endParaRPr lang="en-AU" sz="1400"/>
          </a:p>
        </c:rich>
      </c:tx>
      <c:layout>
        <c:manualLayout>
          <c:xMode val="edge"/>
          <c:yMode val="edge"/>
          <c:x val="1.1200033459689182E-2"/>
          <c:y val="8.8947303757934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Variables'!$AH$4:$AH$33</c:f>
              <c:numCache>
                <c:formatCode>_-* #,##0_-;\-* #,##0_-;_-* "-"??_-;_-@_-</c:formatCode>
                <c:ptCount val="30"/>
                <c:pt idx="0">
                  <c:v>500</c:v>
                </c:pt>
                <c:pt idx="1">
                  <c:v>507.32087227414326</c:v>
                </c:pt>
                <c:pt idx="2">
                  <c:v>525.07788161993767</c:v>
                </c:pt>
                <c:pt idx="3">
                  <c:v>538.20093457943926</c:v>
                </c:pt>
                <c:pt idx="4">
                  <c:v>555.42336448598132</c:v>
                </c:pt>
                <c:pt idx="5">
                  <c:v>573.19691214953264</c:v>
                </c:pt>
                <c:pt idx="6">
                  <c:v>591.53921333831772</c:v>
                </c:pt>
                <c:pt idx="7">
                  <c:v>610.4684681651438</c:v>
                </c:pt>
                <c:pt idx="8">
                  <c:v>630.00345914642844</c:v>
                </c:pt>
                <c:pt idx="9">
                  <c:v>650.16356983911407</c:v>
                </c:pt>
                <c:pt idx="10">
                  <c:v>670.96880407396566</c:v>
                </c:pt>
                <c:pt idx="11">
                  <c:v>692.43980580433254</c:v>
                </c:pt>
                <c:pt idx="12">
                  <c:v>714.5978795900711</c:v>
                </c:pt>
                <c:pt idx="13">
                  <c:v>737.46501173695333</c:v>
                </c:pt>
                <c:pt idx="14">
                  <c:v>761.06389211253588</c:v>
                </c:pt>
                <c:pt idx="15">
                  <c:v>785.41793666013712</c:v>
                </c:pt>
                <c:pt idx="16">
                  <c:v>810.55131063326144</c:v>
                </c:pt>
                <c:pt idx="17">
                  <c:v>836.48895257352581</c:v>
                </c:pt>
                <c:pt idx="18">
                  <c:v>863.25659905587861</c:v>
                </c:pt>
                <c:pt idx="19">
                  <c:v>890.88081022566678</c:v>
                </c:pt>
                <c:pt idx="20">
                  <c:v>919.38899615288824</c:v>
                </c:pt>
                <c:pt idx="21">
                  <c:v>948.80944402978071</c:v>
                </c:pt>
                <c:pt idx="22">
                  <c:v>979.1713462387338</c:v>
                </c:pt>
                <c:pt idx="23">
                  <c:v>1010.5048293183731</c:v>
                </c:pt>
                <c:pt idx="24">
                  <c:v>1042.840983856561</c:v>
                </c:pt>
                <c:pt idx="25">
                  <c:v>1076.2118953399709</c:v>
                </c:pt>
                <c:pt idx="26">
                  <c:v>1110.65067599085</c:v>
                </c:pt>
                <c:pt idx="27">
                  <c:v>1146.1914976225571</c:v>
                </c:pt>
                <c:pt idx="28">
                  <c:v>1182.869625546479</c:v>
                </c:pt>
                <c:pt idx="29">
                  <c:v>1220.7214535639662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76-495D-855F-1951B0238F5C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Variables'!$AN$4:$AN$33</c:f>
              <c:numCache>
                <c:formatCode>_-* #,##0_-;\-* #,##0_-;_-* "-"??_-;_-@_-</c:formatCode>
                <c:ptCount val="30"/>
                <c:pt idx="0">
                  <c:v>500</c:v>
                </c:pt>
                <c:pt idx="1">
                  <c:v>507.32087227414326</c:v>
                </c:pt>
                <c:pt idx="2">
                  <c:v>525.07788161993767</c:v>
                </c:pt>
                <c:pt idx="3">
                  <c:v>538.20093457943926</c:v>
                </c:pt>
                <c:pt idx="4">
                  <c:v>555.42336448598132</c:v>
                </c:pt>
                <c:pt idx="5">
                  <c:v>573.19691214953264</c:v>
                </c:pt>
                <c:pt idx="6">
                  <c:v>591.53921333831772</c:v>
                </c:pt>
                <c:pt idx="7">
                  <c:v>610.4684681651438</c:v>
                </c:pt>
                <c:pt idx="8">
                  <c:v>630.00345914642844</c:v>
                </c:pt>
                <c:pt idx="9">
                  <c:v>650.16356983911407</c:v>
                </c:pt>
                <c:pt idx="10">
                  <c:v>670.96880407396566</c:v>
                </c:pt>
                <c:pt idx="11">
                  <c:v>692.43980580433254</c:v>
                </c:pt>
                <c:pt idx="12">
                  <c:v>714.5978795900711</c:v>
                </c:pt>
                <c:pt idx="13">
                  <c:v>737.46501173695333</c:v>
                </c:pt>
                <c:pt idx="14">
                  <c:v>761.06389211253588</c:v>
                </c:pt>
                <c:pt idx="15">
                  <c:v>785.41793666013712</c:v>
                </c:pt>
                <c:pt idx="16">
                  <c:v>810.55131063326144</c:v>
                </c:pt>
                <c:pt idx="17">
                  <c:v>836.48895257352581</c:v>
                </c:pt>
                <c:pt idx="18">
                  <c:v>863.25659905587861</c:v>
                </c:pt>
                <c:pt idx="19">
                  <c:v>890.88081022566678</c:v>
                </c:pt>
                <c:pt idx="20">
                  <c:v>919.38899615288824</c:v>
                </c:pt>
                <c:pt idx="21">
                  <c:v>948.80944402978071</c:v>
                </c:pt>
                <c:pt idx="22">
                  <c:v>979.1713462387338</c:v>
                </c:pt>
                <c:pt idx="23">
                  <c:v>1010.5048293183731</c:v>
                </c:pt>
                <c:pt idx="24">
                  <c:v>1042.840983856561</c:v>
                </c:pt>
                <c:pt idx="25">
                  <c:v>1076.2118953399709</c:v>
                </c:pt>
                <c:pt idx="26">
                  <c:v>1110.65067599085</c:v>
                </c:pt>
                <c:pt idx="27">
                  <c:v>1146.1914976225571</c:v>
                </c:pt>
                <c:pt idx="28">
                  <c:v>1182.869625546479</c:v>
                </c:pt>
                <c:pt idx="29">
                  <c:v>1220.7214535639662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76-495D-855F-1951B0238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Yield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6.9871761779712587E-3"/>
          <c:y val="7.861455847035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'Citrus Margin ORAG - Baseline'!$F$7:$F$36</c:f>
              <c:numCache>
                <c:formatCode>0.0</c:formatCode>
                <c:ptCount val="30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82-48DB-89E7-295D6C839805}"/>
            </c:ext>
          </c:extLst>
        </c:ser>
        <c:ser>
          <c:idx val="1"/>
          <c:order val="1"/>
          <c:tx>
            <c:v>"Alternative"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Variables'!$AO$4:$AO$33</c:f>
              <c:numCache>
                <c:formatCode>_-* #,##0_-;\-* #,##0_-;_-* "-"??_-;_-@_-</c:formatCode>
                <c:ptCount val="30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82-48DB-89E7-295D6C839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Gross Income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0191509018538"/>
          <c:y val="0.2527682449929581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Variables'!$AJ$4:$AJ$33</c:f>
              <c:numCache>
                <c:formatCode>_-* #,##0_-;\-* #,##0_-;_-* "-"??_-;_-@_-</c:formatCode>
                <c:ptCount val="30"/>
                <c:pt idx="0">
                  <c:v>20000</c:v>
                </c:pt>
                <c:pt idx="1">
                  <c:v>20292.834890965729</c:v>
                </c:pt>
                <c:pt idx="2">
                  <c:v>21003.115264797507</c:v>
                </c:pt>
                <c:pt idx="3">
                  <c:v>21528.037383177572</c:v>
                </c:pt>
                <c:pt idx="4">
                  <c:v>22216.934579439254</c:v>
                </c:pt>
                <c:pt idx="5">
                  <c:v>22927.876485981305</c:v>
                </c:pt>
                <c:pt idx="6">
                  <c:v>23661.568533532707</c:v>
                </c:pt>
                <c:pt idx="7">
                  <c:v>24418.738726605752</c:v>
                </c:pt>
                <c:pt idx="8">
                  <c:v>25200.138365857136</c:v>
                </c:pt>
                <c:pt idx="9">
                  <c:v>26006.542793564564</c:v>
                </c:pt>
                <c:pt idx="10">
                  <c:v>26838.752162958626</c:v>
                </c:pt>
                <c:pt idx="11">
                  <c:v>27697.592232173301</c:v>
                </c:pt>
                <c:pt idx="12">
                  <c:v>28583.915183602843</c:v>
                </c:pt>
                <c:pt idx="13">
                  <c:v>29498.600469478133</c:v>
                </c:pt>
                <c:pt idx="14">
                  <c:v>30442.555684501436</c:v>
                </c:pt>
                <c:pt idx="15">
                  <c:v>31416.717466405484</c:v>
                </c:pt>
                <c:pt idx="16">
                  <c:v>32422.052425330457</c:v>
                </c:pt>
                <c:pt idx="17">
                  <c:v>33459.558102941031</c:v>
                </c:pt>
                <c:pt idx="18">
                  <c:v>34530.263962235142</c:v>
                </c:pt>
                <c:pt idx="19">
                  <c:v>35635.23240902667</c:v>
                </c:pt>
                <c:pt idx="20">
                  <c:v>36775.559846115531</c:v>
                </c:pt>
                <c:pt idx="21">
                  <c:v>37952.37776119123</c:v>
                </c:pt>
                <c:pt idx="22">
                  <c:v>39166.853849549356</c:v>
                </c:pt>
                <c:pt idx="23">
                  <c:v>40420.193172734929</c:v>
                </c:pt>
                <c:pt idx="24">
                  <c:v>41713.639354262443</c:v>
                </c:pt>
                <c:pt idx="25">
                  <c:v>43048.475813598838</c:v>
                </c:pt>
                <c:pt idx="26">
                  <c:v>44426.027039633998</c:v>
                </c:pt>
                <c:pt idx="27">
                  <c:v>45847.659904902284</c:v>
                </c:pt>
                <c:pt idx="28">
                  <c:v>47314.785021859163</c:v>
                </c:pt>
                <c:pt idx="29">
                  <c:v>48828.858142558645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30-45E6-AE59-C9EEBA21F865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Variables'!$AP$4:$AP$33</c:f>
              <c:numCache>
                <c:formatCode>_-* #,##0_-;\-* #,##0_-;_-* "-"??_-;_-@_-</c:formatCode>
                <c:ptCount val="30"/>
                <c:pt idx="0">
                  <c:v>20000</c:v>
                </c:pt>
                <c:pt idx="1">
                  <c:v>20292.834890965729</c:v>
                </c:pt>
                <c:pt idx="2">
                  <c:v>21003.115264797507</c:v>
                </c:pt>
                <c:pt idx="3">
                  <c:v>21528.037383177572</c:v>
                </c:pt>
                <c:pt idx="4">
                  <c:v>22216.934579439254</c:v>
                </c:pt>
                <c:pt idx="5">
                  <c:v>22927.876485981305</c:v>
                </c:pt>
                <c:pt idx="6">
                  <c:v>23661.568533532707</c:v>
                </c:pt>
                <c:pt idx="7">
                  <c:v>24418.738726605752</c:v>
                </c:pt>
                <c:pt idx="8">
                  <c:v>25200.138365857136</c:v>
                </c:pt>
                <c:pt idx="9">
                  <c:v>26006.542793564564</c:v>
                </c:pt>
                <c:pt idx="10">
                  <c:v>26838.752162958626</c:v>
                </c:pt>
                <c:pt idx="11">
                  <c:v>27697.592232173301</c:v>
                </c:pt>
                <c:pt idx="12">
                  <c:v>28583.915183602843</c:v>
                </c:pt>
                <c:pt idx="13">
                  <c:v>29498.600469478133</c:v>
                </c:pt>
                <c:pt idx="14">
                  <c:v>30442.555684501436</c:v>
                </c:pt>
                <c:pt idx="15">
                  <c:v>31416.717466405484</c:v>
                </c:pt>
                <c:pt idx="16">
                  <c:v>32422.052425330457</c:v>
                </c:pt>
                <c:pt idx="17">
                  <c:v>33459.558102941031</c:v>
                </c:pt>
                <c:pt idx="18">
                  <c:v>34530.263962235142</c:v>
                </c:pt>
                <c:pt idx="19">
                  <c:v>35635.23240902667</c:v>
                </c:pt>
                <c:pt idx="20">
                  <c:v>36775.559846115531</c:v>
                </c:pt>
                <c:pt idx="21">
                  <c:v>37952.37776119123</c:v>
                </c:pt>
                <c:pt idx="22">
                  <c:v>39166.853849549356</c:v>
                </c:pt>
                <c:pt idx="23">
                  <c:v>40420.193172734929</c:v>
                </c:pt>
                <c:pt idx="24">
                  <c:v>41713.639354262443</c:v>
                </c:pt>
                <c:pt idx="25">
                  <c:v>43048.475813598838</c:v>
                </c:pt>
                <c:pt idx="26">
                  <c:v>44426.027039633998</c:v>
                </c:pt>
                <c:pt idx="27">
                  <c:v>45847.659904902284</c:v>
                </c:pt>
                <c:pt idx="28">
                  <c:v>47314.785021859163</c:v>
                </c:pt>
                <c:pt idx="29">
                  <c:v>48828.858142558645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30-45E6-AE59-C9EEBA21F8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Costs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Variables'!$AK$4:$AK$33</c:f>
              <c:numCache>
                <c:formatCode>_-* #,##0_-;\-* #,##0_-;_-* "-"??_-;_-@_-</c:formatCode>
                <c:ptCount val="30"/>
                <c:pt idx="0">
                  <c:v>13737.601000000001</c:v>
                </c:pt>
                <c:pt idx="1">
                  <c:v>14057.419039110733</c:v>
                </c:pt>
                <c:pt idx="2">
                  <c:v>14457.332727712779</c:v>
                </c:pt>
                <c:pt idx="3">
                  <c:v>14897.096752177433</c:v>
                </c:pt>
                <c:pt idx="4">
                  <c:v>15350.689565248595</c:v>
                </c:pt>
                <c:pt idx="5">
                  <c:v>15859.693648813734</c:v>
                </c:pt>
                <c:pt idx="6">
                  <c:v>16385.995616879121</c:v>
                </c:pt>
                <c:pt idx="7">
                  <c:v>16920.68881918714</c:v>
                </c:pt>
                <c:pt idx="8">
                  <c:v>17420.60233392716</c:v>
                </c:pt>
                <c:pt idx="9">
                  <c:v>17934.964509871555</c:v>
                </c:pt>
                <c:pt idx="10">
                  <c:v>18425.656513671267</c:v>
                </c:pt>
                <c:pt idx="11">
                  <c:v>18926.876115306426</c:v>
                </c:pt>
                <c:pt idx="12">
                  <c:v>19424.999951607806</c:v>
                </c:pt>
                <c:pt idx="13">
                  <c:v>19943.486231363575</c:v>
                </c:pt>
                <c:pt idx="14">
                  <c:v>20474.355720232947</c:v>
                </c:pt>
                <c:pt idx="15">
                  <c:v>20978.640790297206</c:v>
                </c:pt>
                <c:pt idx="16">
                  <c:v>21507.093850343077</c:v>
                </c:pt>
                <c:pt idx="17">
                  <c:v>22068.593751232882</c:v>
                </c:pt>
                <c:pt idx="18">
                  <c:v>22658.573832508322</c:v>
                </c:pt>
                <c:pt idx="19">
                  <c:v>23282.122893141634</c:v>
                </c:pt>
                <c:pt idx="20">
                  <c:v>23935.616966437479</c:v>
                </c:pt>
                <c:pt idx="21">
                  <c:v>24621.919489385815</c:v>
                </c:pt>
                <c:pt idx="22">
                  <c:v>25338.01927736817</c:v>
                </c:pt>
                <c:pt idx="23">
                  <c:v>26085.372786862878</c:v>
                </c:pt>
                <c:pt idx="24">
                  <c:v>26861.327817993981</c:v>
                </c:pt>
                <c:pt idx="25">
                  <c:v>27666.400165917024</c:v>
                </c:pt>
                <c:pt idx="26">
                  <c:v>28498.20591946728</c:v>
                </c:pt>
                <c:pt idx="27">
                  <c:v>29356.728435257017</c:v>
                </c:pt>
                <c:pt idx="28">
                  <c:v>30239.990721473099</c:v>
                </c:pt>
                <c:pt idx="29">
                  <c:v>31147.927389085133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65-40F3-9516-65F73437570B}"/>
            </c:ext>
          </c:extLst>
        </c:ser>
        <c:ser>
          <c:idx val="1"/>
          <c:order val="1"/>
          <c:tx>
            <c:v>Alternnative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Variables'!$AQ$4:$AQ$33</c:f>
              <c:numCache>
                <c:formatCode>_-* #,##0_-;\-* #,##0_-;_-* "-"??_-;_-@_-</c:formatCode>
                <c:ptCount val="30"/>
                <c:pt idx="0">
                  <c:v>13737.601000000001</c:v>
                </c:pt>
                <c:pt idx="1">
                  <c:v>14057.419039110733</c:v>
                </c:pt>
                <c:pt idx="2">
                  <c:v>14457.332727712779</c:v>
                </c:pt>
                <c:pt idx="3">
                  <c:v>14897.096752177433</c:v>
                </c:pt>
                <c:pt idx="4">
                  <c:v>15350.689565248595</c:v>
                </c:pt>
                <c:pt idx="5">
                  <c:v>15859.693648813734</c:v>
                </c:pt>
                <c:pt idx="6">
                  <c:v>16385.995616879121</c:v>
                </c:pt>
                <c:pt idx="7">
                  <c:v>16920.68881918714</c:v>
                </c:pt>
                <c:pt idx="8">
                  <c:v>17420.60233392716</c:v>
                </c:pt>
                <c:pt idx="9">
                  <c:v>17934.964509871555</c:v>
                </c:pt>
                <c:pt idx="10">
                  <c:v>18425.656513671267</c:v>
                </c:pt>
                <c:pt idx="11">
                  <c:v>18926.876115306426</c:v>
                </c:pt>
                <c:pt idx="12">
                  <c:v>19424.999951607806</c:v>
                </c:pt>
                <c:pt idx="13">
                  <c:v>19943.486231363575</c:v>
                </c:pt>
                <c:pt idx="14">
                  <c:v>20474.355720232947</c:v>
                </c:pt>
                <c:pt idx="15">
                  <c:v>20978.640790297206</c:v>
                </c:pt>
                <c:pt idx="16">
                  <c:v>21507.093850343077</c:v>
                </c:pt>
                <c:pt idx="17">
                  <c:v>22068.593751232882</c:v>
                </c:pt>
                <c:pt idx="18">
                  <c:v>22658.573832508322</c:v>
                </c:pt>
                <c:pt idx="19">
                  <c:v>23282.122893141634</c:v>
                </c:pt>
                <c:pt idx="20">
                  <c:v>23935.616966437479</c:v>
                </c:pt>
                <c:pt idx="21">
                  <c:v>24621.919489385815</c:v>
                </c:pt>
                <c:pt idx="22">
                  <c:v>25338.01927736817</c:v>
                </c:pt>
                <c:pt idx="23">
                  <c:v>26085.372786862878</c:v>
                </c:pt>
                <c:pt idx="24">
                  <c:v>26861.327817993981</c:v>
                </c:pt>
                <c:pt idx="25">
                  <c:v>27666.400165917024</c:v>
                </c:pt>
                <c:pt idx="26">
                  <c:v>28498.20591946728</c:v>
                </c:pt>
                <c:pt idx="27">
                  <c:v>29356.728435257017</c:v>
                </c:pt>
                <c:pt idx="28">
                  <c:v>30239.990721473099</c:v>
                </c:pt>
                <c:pt idx="29">
                  <c:v>31147.927389085133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65-40F3-9516-65F7343757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Variables'!$AL$4:$AL$33</c:f>
              <c:numCache>
                <c:formatCode>_-* #,##0_-;\-* #,##0_-;_-* "-"??_-;_-@_-</c:formatCode>
                <c:ptCount val="30"/>
                <c:pt idx="0">
                  <c:v>6262.3989999999994</c:v>
                </c:pt>
                <c:pt idx="1">
                  <c:v>6235.4158518549957</c:v>
                </c:pt>
                <c:pt idx="2">
                  <c:v>6545.7825370847277</c:v>
                </c:pt>
                <c:pt idx="3">
                  <c:v>6630.9406310001395</c:v>
                </c:pt>
                <c:pt idx="4">
                  <c:v>6866.2450141906593</c:v>
                </c:pt>
                <c:pt idx="5">
                  <c:v>7068.1828371675711</c:v>
                </c:pt>
                <c:pt idx="6">
                  <c:v>7275.5729166535857</c:v>
                </c:pt>
                <c:pt idx="7">
                  <c:v>7498.0499074186118</c:v>
                </c:pt>
                <c:pt idx="8">
                  <c:v>7779.5360319299762</c:v>
                </c:pt>
                <c:pt idx="9">
                  <c:v>8071.5782836930084</c:v>
                </c:pt>
                <c:pt idx="10">
                  <c:v>8413.0956492873593</c:v>
                </c:pt>
                <c:pt idx="11">
                  <c:v>8770.7161168668754</c:v>
                </c:pt>
                <c:pt idx="12">
                  <c:v>9158.9152319950372</c:v>
                </c:pt>
                <c:pt idx="13">
                  <c:v>9555.1142381145582</c:v>
                </c:pt>
                <c:pt idx="14">
                  <c:v>9968.1999642684896</c:v>
                </c:pt>
                <c:pt idx="15">
                  <c:v>10438.076676108278</c:v>
                </c:pt>
                <c:pt idx="16">
                  <c:v>10914.95857498738</c:v>
                </c:pt>
                <c:pt idx="17">
                  <c:v>11390.964351708149</c:v>
                </c:pt>
                <c:pt idx="18">
                  <c:v>11871.69012972682</c:v>
                </c:pt>
                <c:pt idx="19">
                  <c:v>12353.109515885037</c:v>
                </c:pt>
                <c:pt idx="20">
                  <c:v>12839.942879678052</c:v>
                </c:pt>
                <c:pt idx="21">
                  <c:v>13330.458271805415</c:v>
                </c:pt>
                <c:pt idx="22">
                  <c:v>13828.834572181186</c:v>
                </c:pt>
                <c:pt idx="23">
                  <c:v>14334.820385872052</c:v>
                </c:pt>
                <c:pt idx="24">
                  <c:v>14852.311536268462</c:v>
                </c:pt>
                <c:pt idx="25">
                  <c:v>15382.075647681813</c:v>
                </c:pt>
                <c:pt idx="26">
                  <c:v>15927.821120166718</c:v>
                </c:pt>
                <c:pt idx="27">
                  <c:v>16490.931469645267</c:v>
                </c:pt>
                <c:pt idx="28">
                  <c:v>17074.794300386064</c:v>
                </c:pt>
                <c:pt idx="29">
                  <c:v>17680.930753473513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31-4C48-84BD-876490625B00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Variables'!$AR$4:$AR$33</c:f>
              <c:numCache>
                <c:formatCode>_-* #,##0_-;\-* #,##0_-;_-* "-"??_-;_-@_-</c:formatCode>
                <c:ptCount val="30"/>
                <c:pt idx="0">
                  <c:v>6262.3989999999994</c:v>
                </c:pt>
                <c:pt idx="1">
                  <c:v>6235.4158518549957</c:v>
                </c:pt>
                <c:pt idx="2">
                  <c:v>6545.7825370847277</c:v>
                </c:pt>
                <c:pt idx="3">
                  <c:v>6630.9406310001395</c:v>
                </c:pt>
                <c:pt idx="4">
                  <c:v>6866.2450141906593</c:v>
                </c:pt>
                <c:pt idx="5">
                  <c:v>7068.1828371675711</c:v>
                </c:pt>
                <c:pt idx="6">
                  <c:v>7275.5729166535857</c:v>
                </c:pt>
                <c:pt idx="7">
                  <c:v>7498.0499074186118</c:v>
                </c:pt>
                <c:pt idx="8">
                  <c:v>7779.5360319299762</c:v>
                </c:pt>
                <c:pt idx="9">
                  <c:v>8071.5782836930084</c:v>
                </c:pt>
                <c:pt idx="10">
                  <c:v>8413.0956492873593</c:v>
                </c:pt>
                <c:pt idx="11">
                  <c:v>8770.7161168668754</c:v>
                </c:pt>
                <c:pt idx="12">
                  <c:v>9158.9152319950372</c:v>
                </c:pt>
                <c:pt idx="13">
                  <c:v>9555.1142381145582</c:v>
                </c:pt>
                <c:pt idx="14">
                  <c:v>9968.1999642684896</c:v>
                </c:pt>
                <c:pt idx="15">
                  <c:v>10438.076676108278</c:v>
                </c:pt>
                <c:pt idx="16">
                  <c:v>10914.95857498738</c:v>
                </c:pt>
                <c:pt idx="17">
                  <c:v>11390.964351708149</c:v>
                </c:pt>
                <c:pt idx="18">
                  <c:v>11871.69012972682</c:v>
                </c:pt>
                <c:pt idx="19">
                  <c:v>12353.109515885037</c:v>
                </c:pt>
                <c:pt idx="20">
                  <c:v>12839.942879678052</c:v>
                </c:pt>
                <c:pt idx="21">
                  <c:v>13330.458271805415</c:v>
                </c:pt>
                <c:pt idx="22">
                  <c:v>13828.834572181186</c:v>
                </c:pt>
                <c:pt idx="23">
                  <c:v>14334.820385872052</c:v>
                </c:pt>
                <c:pt idx="24">
                  <c:v>14852.311536268462</c:v>
                </c:pt>
                <c:pt idx="25">
                  <c:v>15382.075647681813</c:v>
                </c:pt>
                <c:pt idx="26">
                  <c:v>15927.821120166718</c:v>
                </c:pt>
                <c:pt idx="27">
                  <c:v>16490.931469645267</c:v>
                </c:pt>
                <c:pt idx="28">
                  <c:v>17074.794300386064</c:v>
                </c:pt>
                <c:pt idx="29">
                  <c:v>17680.930753473513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31-4C48-84BD-876490625B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Variables'!$AM$4:$AM$33</c:f>
              <c:numCache>
                <c:formatCode>_-* #,##0_-;\-* #,##0_-;_-* "-"??_-;_-@_-</c:formatCode>
                <c:ptCount val="30"/>
                <c:pt idx="0">
                  <c:v>26.369686315789476</c:v>
                </c:pt>
                <c:pt idx="1">
                  <c:v>26.610308663454358</c:v>
                </c:pt>
                <c:pt idx="2">
                  <c:v>26.442468444276411</c:v>
                </c:pt>
                <c:pt idx="3">
                  <c:v>26.601472020293009</c:v>
                </c:pt>
                <c:pt idx="4">
                  <c:v>26.570488673424524</c:v>
                </c:pt>
                <c:pt idx="5">
                  <c:v>26.615652390415139</c:v>
                </c:pt>
                <c:pt idx="6">
                  <c:v>26.661214514595642</c:v>
                </c:pt>
                <c:pt idx="7">
                  <c:v>26.690776581390683</c:v>
                </c:pt>
                <c:pt idx="8">
                  <c:v>26.63262625459868</c:v>
                </c:pt>
                <c:pt idx="9">
                  <c:v>26.573769075662089</c:v>
                </c:pt>
                <c:pt idx="10">
                  <c:v>26.45371045085103</c:v>
                </c:pt>
                <c:pt idx="11">
                  <c:v>26.329499602189742</c:v>
                </c:pt>
                <c:pt idx="12">
                  <c:v>26.180922605541998</c:v>
                </c:pt>
                <c:pt idx="13">
                  <c:v>26.043272155842804</c:v>
                </c:pt>
                <c:pt idx="14">
                  <c:v>25.904062874498194</c:v>
                </c:pt>
                <c:pt idx="15">
                  <c:v>25.710708942005375</c:v>
                </c:pt>
                <c:pt idx="16">
                  <c:v>25.533791447313376</c:v>
                </c:pt>
                <c:pt idx="17">
                  <c:v>25.382688188427835</c:v>
                </c:pt>
                <c:pt idx="18">
                  <c:v>25.249102817239621</c:v>
                </c:pt>
                <c:pt idx="19">
                  <c:v>25.137035620754585</c:v>
                </c:pt>
                <c:pt idx="20">
                  <c:v>25.039895542889354</c:v>
                </c:pt>
                <c:pt idx="21">
                  <c:v>24.95898064028389</c:v>
                </c:pt>
                <c:pt idx="22">
                  <c:v>24.889007520186603</c:v>
                </c:pt>
                <c:pt idx="23">
                  <c:v>24.829899913922667</c:v>
                </c:pt>
                <c:pt idx="24">
                  <c:v>24.777360563661802</c:v>
                </c:pt>
                <c:pt idx="25">
                  <c:v>24.730647831010049</c:v>
                </c:pt>
                <c:pt idx="26">
                  <c:v>24.686304939850945</c:v>
                </c:pt>
                <c:pt idx="27">
                  <c:v>24.643428021938412</c:v>
                </c:pt>
                <c:pt idx="28">
                  <c:v>24.599445875303786</c:v>
                </c:pt>
                <c:pt idx="29">
                  <c:v>24.553728398554469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E6-4A05-A89F-AFC1603C750C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Variables'!$AS$4:$AS$33</c:f>
              <c:numCache>
                <c:formatCode>_-* #,##0_-;\-* #,##0_-;_-* "-"??_-;_-@_-</c:formatCode>
                <c:ptCount val="30"/>
                <c:pt idx="0">
                  <c:v>26.369686315789476</c:v>
                </c:pt>
                <c:pt idx="1">
                  <c:v>26.610308663454358</c:v>
                </c:pt>
                <c:pt idx="2">
                  <c:v>26.442468444276411</c:v>
                </c:pt>
                <c:pt idx="3">
                  <c:v>26.601472020293009</c:v>
                </c:pt>
                <c:pt idx="4">
                  <c:v>26.570488673424524</c:v>
                </c:pt>
                <c:pt idx="5">
                  <c:v>26.615652390415139</c:v>
                </c:pt>
                <c:pt idx="6">
                  <c:v>26.661214514595642</c:v>
                </c:pt>
                <c:pt idx="7">
                  <c:v>26.690776581390683</c:v>
                </c:pt>
                <c:pt idx="8">
                  <c:v>26.63262625459868</c:v>
                </c:pt>
                <c:pt idx="9">
                  <c:v>26.573769075662089</c:v>
                </c:pt>
                <c:pt idx="10">
                  <c:v>26.45371045085103</c:v>
                </c:pt>
                <c:pt idx="11">
                  <c:v>26.329499602189742</c:v>
                </c:pt>
                <c:pt idx="12">
                  <c:v>26.180922605541998</c:v>
                </c:pt>
                <c:pt idx="13">
                  <c:v>26.043272155842804</c:v>
                </c:pt>
                <c:pt idx="14">
                  <c:v>25.904062874498194</c:v>
                </c:pt>
                <c:pt idx="15">
                  <c:v>25.710708942005375</c:v>
                </c:pt>
                <c:pt idx="16">
                  <c:v>25.533791447313376</c:v>
                </c:pt>
                <c:pt idx="17">
                  <c:v>25.382688188427835</c:v>
                </c:pt>
                <c:pt idx="18">
                  <c:v>25.249102817239621</c:v>
                </c:pt>
                <c:pt idx="19">
                  <c:v>25.137035620754585</c:v>
                </c:pt>
                <c:pt idx="20">
                  <c:v>25.039895542889354</c:v>
                </c:pt>
                <c:pt idx="21">
                  <c:v>24.95898064028389</c:v>
                </c:pt>
                <c:pt idx="22">
                  <c:v>24.889007520186603</c:v>
                </c:pt>
                <c:pt idx="23">
                  <c:v>24.829899913922667</c:v>
                </c:pt>
                <c:pt idx="24">
                  <c:v>24.777360563661802</c:v>
                </c:pt>
                <c:pt idx="25">
                  <c:v>24.730647831010049</c:v>
                </c:pt>
                <c:pt idx="26">
                  <c:v>24.686304939850945</c:v>
                </c:pt>
                <c:pt idx="27">
                  <c:v>24.643428021938412</c:v>
                </c:pt>
                <c:pt idx="28">
                  <c:v>24.599445875303786</c:v>
                </c:pt>
                <c:pt idx="29">
                  <c:v>24.553728398554469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E6-4A05-A89F-AFC1603C75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Baseline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38367894275789749"/>
          <c:y val="0.447586967327793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313338286054507E-2"/>
          <c:y val="2.2055016162161333E-2"/>
          <c:w val="0.75124606570145214"/>
          <c:h val="0.97794499999999995"/>
        </c:manualLayout>
      </c:layout>
      <c:doughnutChart>
        <c:varyColors val="1"/>
        <c:ser>
          <c:idx val="0"/>
          <c:order val="0"/>
          <c:tx>
            <c:v>Baseline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75-4908-A6F7-BDCFCEEF182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C75-4908-A6F7-BDCFCEEF182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C75-4908-A6F7-BDCFCEEF182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C75-4908-A6F7-BDCFCEEF182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C75-4908-A6F7-BDCFCEEF182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C75-4908-A6F7-BDCFCEEF182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C75-4908-A6F7-BDCFCEEF182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C75-4908-A6F7-BDCFCEEF1822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C75-4908-A6F7-BDCFCEEF1822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C75-4908-A6F7-BDCFCEEF1822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C75-4908-A6F7-BDCFCEEF1822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graphs!$J$3:$J$13</c:f>
              <c:numCache>
                <c:formatCode>0</c:formatCode>
                <c:ptCount val="11"/>
                <c:pt idx="0">
                  <c:v>1210.1599999999999</c:v>
                </c:pt>
                <c:pt idx="1">
                  <c:v>61.199999999999996</c:v>
                </c:pt>
                <c:pt idx="2">
                  <c:v>931.5</c:v>
                </c:pt>
                <c:pt idx="3" formatCode="#,##0">
                  <c:v>99.060999999999993</c:v>
                </c:pt>
                <c:pt idx="4" formatCode="#,##0">
                  <c:v>3800</c:v>
                </c:pt>
                <c:pt idx="5">
                  <c:v>1000</c:v>
                </c:pt>
                <c:pt idx="6" formatCode="#,##0">
                  <c:v>2079</c:v>
                </c:pt>
                <c:pt idx="7" formatCode="#,##0">
                  <c:v>1600</c:v>
                </c:pt>
                <c:pt idx="8">
                  <c:v>1543</c:v>
                </c:pt>
                <c:pt idx="9" formatCode="#,##0">
                  <c:v>1201.68</c:v>
                </c:pt>
                <c:pt idx="10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1C75-4908-A6F7-BDCFCEEF1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3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Alternative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40775064626468854"/>
          <c:y val="0.566901101008962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249180771754643"/>
          <c:y val="0.32768540252312223"/>
          <c:w val="0.61722379849848585"/>
          <c:h val="0.59737972447062326"/>
        </c:manualLayout>
      </c:layout>
      <c:doughnutChart>
        <c:varyColors val="1"/>
        <c:ser>
          <c:idx val="0"/>
          <c:order val="0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25C-4A53-A05B-E318E10E653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25C-4A53-A05B-E318E10E653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25C-4A53-A05B-E318E10E653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25C-4A53-A05B-E318E10E653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25C-4A53-A05B-E318E10E653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5C-4A53-A05B-E318E10E653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25C-4A53-A05B-E318E10E653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5C-4A53-A05B-E318E10E653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25C-4A53-A05B-E318E10E653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25C-4A53-A05B-E318E10E653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25C-4A53-A05B-E318E10E653C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graphs!$K$3:$K$13</c:f>
              <c:numCache>
                <c:formatCode>0</c:formatCode>
                <c:ptCount val="11"/>
                <c:pt idx="0">
                  <c:v>1210.1599999999999</c:v>
                </c:pt>
                <c:pt idx="1">
                  <c:v>61.199999999999996</c:v>
                </c:pt>
                <c:pt idx="2">
                  <c:v>931.5</c:v>
                </c:pt>
                <c:pt idx="3" formatCode="#,##0">
                  <c:v>99.060999999999993</c:v>
                </c:pt>
                <c:pt idx="4" formatCode="#,##0">
                  <c:v>3800</c:v>
                </c:pt>
                <c:pt idx="5">
                  <c:v>1000</c:v>
                </c:pt>
                <c:pt idx="6" formatCode="#,##0">
                  <c:v>2079</c:v>
                </c:pt>
                <c:pt idx="7" formatCode="#,##0">
                  <c:v>1600</c:v>
                </c:pt>
                <c:pt idx="8" formatCode="_-* #,##0_-;\-* #,##0_-;_-* &quot;-&quot;??_-;_-@_-">
                  <c:v>1543</c:v>
                </c:pt>
                <c:pt idx="9" formatCode="#,##0">
                  <c:v>1201.68</c:v>
                </c:pt>
                <c:pt idx="10">
                  <c:v>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25C-4A53-A05B-E318E10E6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1088493018262641E-2"/>
          <c:y val="1.6926103985298757E-2"/>
          <c:w val="0.97891150698173734"/>
          <c:h val="0.278173853321701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20902555349653"/>
          <c:y val="6.5081539966283075E-2"/>
          <c:w val="0.76525677728652797"/>
          <c:h val="0.86981899729968526"/>
        </c:manualLayout>
      </c:layout>
      <c:doughnutChart>
        <c:varyColors val="1"/>
        <c:ser>
          <c:idx val="0"/>
          <c:order val="0"/>
          <c:tx>
            <c:strRef>
              <c:f>graphs!$D$17</c:f>
              <c:strCache>
                <c:ptCount val="1"/>
                <c:pt idx="0">
                  <c:v>Baseline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132-47F3-9165-92AF468CFB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132-47F3-9165-92AF468CFB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132-47F3-9165-92AF468CFB0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graphs!$J$18:$J$20</c:f>
              <c:numCache>
                <c:formatCode>0</c:formatCode>
                <c:ptCount val="3"/>
                <c:pt idx="0" formatCode="#,##0">
                  <c:v>20000</c:v>
                </c:pt>
                <c:pt idx="1">
                  <c:v>13737.601000000001</c:v>
                </c:pt>
                <c:pt idx="2">
                  <c:v>6262.3989999999994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132-47F3-9165-92AF468CFB04}"/>
            </c:ext>
          </c:extLst>
        </c:ser>
        <c:ser>
          <c:idx val="1"/>
          <c:order val="1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A132-47F3-9165-92AF468CFB0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A132-47F3-9165-92AF468CFB0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A132-47F3-9165-92AF468CFB0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graphs!$K$18:$K$20</c:f>
              <c:numCache>
                <c:formatCode>#,##0</c:formatCode>
                <c:ptCount val="3"/>
                <c:pt idx="0">
                  <c:v>20000</c:v>
                </c:pt>
                <c:pt idx="1">
                  <c:v>13737.601000000001</c:v>
                </c:pt>
                <c:pt idx="2">
                  <c:v>6262.3989999999994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132-47F3-9165-92AF468CFB0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2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E8FEE2">
        <a:alpha val="20000"/>
      </a:srgb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Variables'!$N$4:$N$33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B6-4F00-8F0E-463B880DE3BD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Variables'!$G$4:$G$33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6-4F00-8F0E-463B880DE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1"/>
          <c:order val="0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Variables'!$O$4:$O$33</c:f>
              <c:numCache>
                <c:formatCode>_-* #,##0.00000_-;\-* #,##0.00000_-;_-* "-"??_-;_-@_-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8E-486F-8B74-1274824D25D3}"/>
            </c:ext>
          </c:extLst>
        </c:ser>
        <c:ser>
          <c:idx val="0"/>
          <c:order val="1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Variables'!$H$4:$H$33</c:f>
              <c:numCache>
                <c:formatCode>#,##0.0000</c:formatCode>
                <c:ptCount val="30"/>
                <c:pt idx="0">
                  <c:v>1.8603774166122455</c:v>
                </c:pt>
                <c:pt idx="1">
                  <c:v>1.8671921591305261</c:v>
                </c:pt>
                <c:pt idx="2">
                  <c:v>1.8525924934445919</c:v>
                </c:pt>
                <c:pt idx="3">
                  <c:v>1.8618812093674628</c:v>
                </c:pt>
                <c:pt idx="4">
                  <c:v>1.858589684558795</c:v>
                </c:pt>
                <c:pt idx="5">
                  <c:v>1.8633876650854726</c:v>
                </c:pt>
                <c:pt idx="6">
                  <c:v>1.8682279705151066</c:v>
                </c:pt>
                <c:pt idx="7">
                  <c:v>1.8713685052244275</c:v>
                </c:pt>
                <c:pt idx="8">
                  <c:v>1.8651908884524067</c:v>
                </c:pt>
                <c:pt idx="9">
                  <c:v>1.8589381790385284</c:v>
                </c:pt>
                <c:pt idx="10">
                  <c:v>1.8461837163351389</c:v>
                </c:pt>
                <c:pt idx="11">
                  <c:v>1.832988140931042</c:v>
                </c:pt>
                <c:pt idx="12">
                  <c:v>1.8172040207538571</c:v>
                </c:pt>
                <c:pt idx="13">
                  <c:v>1.8025806854494923</c:v>
                </c:pt>
                <c:pt idx="14">
                  <c:v>1.7877917472147791</c:v>
                </c:pt>
                <c:pt idx="15">
                  <c:v>1.7672507363176921</c:v>
                </c:pt>
                <c:pt idx="16">
                  <c:v>1.7484558551404581</c:v>
                </c:pt>
                <c:pt idx="17">
                  <c:v>1.7324033567643593</c:v>
                </c:pt>
                <c:pt idx="18">
                  <c:v>1.7182118762504033</c:v>
                </c:pt>
                <c:pt idx="19">
                  <c:v>1.7063063852447282</c:v>
                </c:pt>
                <c:pt idx="20">
                  <c:v>1.6959866809995221</c:v>
                </c:pt>
                <c:pt idx="21">
                  <c:v>1.6873906629370645</c:v>
                </c:pt>
                <c:pt idx="22">
                  <c:v>1.6799570483015058</c:v>
                </c:pt>
                <c:pt idx="23">
                  <c:v>1.6736777346681337</c:v>
                </c:pt>
                <c:pt idx="24">
                  <c:v>1.6680962016094545</c:v>
                </c:pt>
                <c:pt idx="25">
                  <c:v>1.6631336609563543</c:v>
                </c:pt>
                <c:pt idx="26">
                  <c:v>1.6584228810991029</c:v>
                </c:pt>
                <c:pt idx="27">
                  <c:v>1.653867839333363</c:v>
                </c:pt>
                <c:pt idx="28">
                  <c:v>1.6491953832749238</c:v>
                </c:pt>
                <c:pt idx="29">
                  <c:v>1.6443385739202452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8E-486F-8B74-1274824D2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Price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$/kg</a:t>
            </a:r>
            <a:endParaRPr lang="en-AU" sz="1400"/>
          </a:p>
        </c:rich>
      </c:tx>
      <c:layout>
        <c:manualLayout>
          <c:xMode val="edge"/>
          <c:yMode val="edge"/>
          <c:x val="1.1200033459689182E-2"/>
          <c:y val="8.89473037579343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Variables'!$AU$4:$AU$33</c:f>
              <c:numCache>
                <c:formatCode>_-* #,##0_-;\-* #,##0_-;_-* "-"??_-;_-@_-</c:formatCode>
                <c:ptCount val="30"/>
                <c:pt idx="0">
                  <c:v>700</c:v>
                </c:pt>
                <c:pt idx="1">
                  <c:v>710.24922118380061</c:v>
                </c:pt>
                <c:pt idx="2">
                  <c:v>735.10903426791276</c:v>
                </c:pt>
                <c:pt idx="3">
                  <c:v>753.48130841121497</c:v>
                </c:pt>
                <c:pt idx="4">
                  <c:v>777.59271028037381</c:v>
                </c:pt>
                <c:pt idx="5">
                  <c:v>802.47567700934576</c:v>
                </c:pt>
                <c:pt idx="6">
                  <c:v>828.15489867364488</c:v>
                </c:pt>
                <c:pt idx="7">
                  <c:v>854.65585543120153</c:v>
                </c:pt>
                <c:pt idx="8">
                  <c:v>882.00484280499995</c:v>
                </c:pt>
                <c:pt idx="9">
                  <c:v>910.22899777475993</c:v>
                </c:pt>
                <c:pt idx="10">
                  <c:v>939.35632570355222</c:v>
                </c:pt>
                <c:pt idx="11">
                  <c:v>969.41572812606591</c:v>
                </c:pt>
                <c:pt idx="12">
                  <c:v>1000.4370314260999</c:v>
                </c:pt>
                <c:pt idx="13">
                  <c:v>1032.4510164317351</c:v>
                </c:pt>
                <c:pt idx="14">
                  <c:v>1065.4894489575506</c:v>
                </c:pt>
                <c:pt idx="15">
                  <c:v>1099.5851113241924</c:v>
                </c:pt>
                <c:pt idx="16">
                  <c:v>1134.7718348865665</c:v>
                </c:pt>
                <c:pt idx="17">
                  <c:v>1171.0845336029365</c:v>
                </c:pt>
                <c:pt idx="18">
                  <c:v>1208.5592386782305</c:v>
                </c:pt>
                <c:pt idx="19">
                  <c:v>1247.233134315934</c:v>
                </c:pt>
                <c:pt idx="20">
                  <c:v>1287.1445946140441</c:v>
                </c:pt>
                <c:pt idx="21">
                  <c:v>1328.3332216416934</c:v>
                </c:pt>
                <c:pt idx="22">
                  <c:v>1370.8398847342278</c:v>
                </c:pt>
                <c:pt idx="23">
                  <c:v>1414.7067610457229</c:v>
                </c:pt>
                <c:pt idx="24">
                  <c:v>1459.977377399186</c:v>
                </c:pt>
                <c:pt idx="25">
                  <c:v>1506.6966534759599</c:v>
                </c:pt>
                <c:pt idx="26">
                  <c:v>1554.9109463871907</c:v>
                </c:pt>
                <c:pt idx="27">
                  <c:v>1604.6680966715808</c:v>
                </c:pt>
                <c:pt idx="28">
                  <c:v>1656.0174757650716</c:v>
                </c:pt>
                <c:pt idx="29">
                  <c:v>1709.0100349895538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43-4CD4-9D24-C0BF1B365042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Variables'!$BA$4:$BA$33</c:f>
              <c:numCache>
                <c:formatCode>_-* #,##0_-;\-* #,##0_-;_-* "-"??_-;_-@_-</c:formatCode>
                <c:ptCount val="30"/>
                <c:pt idx="0">
                  <c:v>700</c:v>
                </c:pt>
                <c:pt idx="1">
                  <c:v>710.24922118380061</c:v>
                </c:pt>
                <c:pt idx="2">
                  <c:v>735.10903426791276</c:v>
                </c:pt>
                <c:pt idx="3">
                  <c:v>753.48130841121497</c:v>
                </c:pt>
                <c:pt idx="4">
                  <c:v>777.59271028037381</c:v>
                </c:pt>
                <c:pt idx="5">
                  <c:v>802.47567700934576</c:v>
                </c:pt>
                <c:pt idx="6">
                  <c:v>828.15489867364488</c:v>
                </c:pt>
                <c:pt idx="7">
                  <c:v>854.65585543120153</c:v>
                </c:pt>
                <c:pt idx="8">
                  <c:v>882.00484280499995</c:v>
                </c:pt>
                <c:pt idx="9">
                  <c:v>910.22899777475993</c:v>
                </c:pt>
                <c:pt idx="10">
                  <c:v>939.35632570355222</c:v>
                </c:pt>
                <c:pt idx="11">
                  <c:v>969.41572812606591</c:v>
                </c:pt>
                <c:pt idx="12">
                  <c:v>1000.4370314260999</c:v>
                </c:pt>
                <c:pt idx="13">
                  <c:v>1032.4510164317351</c:v>
                </c:pt>
                <c:pt idx="14">
                  <c:v>1065.4894489575506</c:v>
                </c:pt>
                <c:pt idx="15">
                  <c:v>1099.5851113241924</c:v>
                </c:pt>
                <c:pt idx="16">
                  <c:v>1134.7718348865665</c:v>
                </c:pt>
                <c:pt idx="17">
                  <c:v>1171.0845336029365</c:v>
                </c:pt>
                <c:pt idx="18">
                  <c:v>1208.5592386782305</c:v>
                </c:pt>
                <c:pt idx="19">
                  <c:v>1247.233134315934</c:v>
                </c:pt>
                <c:pt idx="20">
                  <c:v>1287.1445946140441</c:v>
                </c:pt>
                <c:pt idx="21">
                  <c:v>1328.3332216416934</c:v>
                </c:pt>
                <c:pt idx="22">
                  <c:v>1370.8398847342278</c:v>
                </c:pt>
                <c:pt idx="23">
                  <c:v>1414.7067610457229</c:v>
                </c:pt>
                <c:pt idx="24">
                  <c:v>1459.977377399186</c:v>
                </c:pt>
                <c:pt idx="25">
                  <c:v>1506.6966534759599</c:v>
                </c:pt>
                <c:pt idx="26">
                  <c:v>1554.9109463871907</c:v>
                </c:pt>
                <c:pt idx="27">
                  <c:v>1604.6680966715808</c:v>
                </c:pt>
                <c:pt idx="28">
                  <c:v>1656.0174757650716</c:v>
                </c:pt>
                <c:pt idx="29">
                  <c:v>1709.0100349895538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43-4CD4-9D24-C0BF1B3650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Yield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6.9871761779712587E-3"/>
          <c:y val="7.8614558470350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'Citrus Margin MAND - Baseline'!$F$7:$F$36</c:f>
              <c:numCache>
                <c:formatCode>0.0</c:formatCode>
                <c:ptCount val="30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DF-4FB2-BD23-88FA27BE91F2}"/>
            </c:ext>
          </c:extLst>
        </c:ser>
        <c:ser>
          <c:idx val="1"/>
          <c:order val="1"/>
          <c:tx>
            <c:v>"Alternative"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Variables'!$BB$4:$BB$33</c:f>
              <c:numCache>
                <c:formatCode>_-* #,##0_-;\-* #,##0_-;_-* "-"??_-;_-@_-</c:formatCode>
                <c:ptCount val="30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DF-4FB2-BD23-88FA27BE9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Gross Income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60191509018538"/>
          <c:y val="0.2527682449929581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Variables'!$AW$4:$AW$33</c:f>
              <c:numCache>
                <c:formatCode>_-* #,##0_-;\-* #,##0_-;_-* "-"??_-;_-@_-</c:formatCode>
                <c:ptCount val="30"/>
                <c:pt idx="0">
                  <c:v>31500</c:v>
                </c:pt>
                <c:pt idx="1">
                  <c:v>31961.214953271028</c:v>
                </c:pt>
                <c:pt idx="2">
                  <c:v>33079.906542056073</c:v>
                </c:pt>
                <c:pt idx="3">
                  <c:v>33906.658878504677</c:v>
                </c:pt>
                <c:pt idx="4">
                  <c:v>34991.67196261682</c:v>
                </c:pt>
                <c:pt idx="5">
                  <c:v>36111.405465420561</c:v>
                </c:pt>
                <c:pt idx="6">
                  <c:v>37266.97044031402</c:v>
                </c:pt>
                <c:pt idx="7">
                  <c:v>38459.513494404069</c:v>
                </c:pt>
                <c:pt idx="8">
                  <c:v>39690.217926224999</c:v>
                </c:pt>
                <c:pt idx="9">
                  <c:v>40960.304899864197</c:v>
                </c:pt>
                <c:pt idx="10">
                  <c:v>42271.034656659853</c:v>
                </c:pt>
                <c:pt idx="11">
                  <c:v>43623.707765672967</c:v>
                </c:pt>
                <c:pt idx="12">
                  <c:v>45019.666414174499</c:v>
                </c:pt>
                <c:pt idx="13">
                  <c:v>46460.295739428075</c:v>
                </c:pt>
                <c:pt idx="14">
                  <c:v>47947.025203089775</c:v>
                </c:pt>
                <c:pt idx="15">
                  <c:v>49481.330009588659</c:v>
                </c:pt>
                <c:pt idx="16">
                  <c:v>51064.732569895488</c:v>
                </c:pt>
                <c:pt idx="17">
                  <c:v>52698.804012132146</c:v>
                </c:pt>
                <c:pt idx="18">
                  <c:v>54385.165740520373</c:v>
                </c:pt>
                <c:pt idx="19">
                  <c:v>56125.491044217029</c:v>
                </c:pt>
                <c:pt idx="20">
                  <c:v>57921.506757631985</c:v>
                </c:pt>
                <c:pt idx="21">
                  <c:v>59774.994973876201</c:v>
                </c:pt>
                <c:pt idx="22">
                  <c:v>61687.794813040251</c:v>
                </c:pt>
                <c:pt idx="23">
                  <c:v>63661.804247057531</c:v>
                </c:pt>
                <c:pt idx="24">
                  <c:v>65698.981982963378</c:v>
                </c:pt>
                <c:pt idx="25">
                  <c:v>67801.349406418201</c:v>
                </c:pt>
                <c:pt idx="26">
                  <c:v>69970.992587423578</c:v>
                </c:pt>
                <c:pt idx="27">
                  <c:v>72210.064350221131</c:v>
                </c:pt>
                <c:pt idx="28">
                  <c:v>74520.786409428227</c:v>
                </c:pt>
                <c:pt idx="29">
                  <c:v>76905.451574529914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E6-4ABC-BC94-5C20A99C70F7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Variables'!$BC$4:$BC$33</c:f>
              <c:numCache>
                <c:formatCode>_-* #,##0_-;\-* #,##0_-;_-* "-"??_-;_-@_-</c:formatCode>
                <c:ptCount val="30"/>
                <c:pt idx="0">
                  <c:v>31500</c:v>
                </c:pt>
                <c:pt idx="1">
                  <c:v>31961.214953271028</c:v>
                </c:pt>
                <c:pt idx="2">
                  <c:v>33079.906542056073</c:v>
                </c:pt>
                <c:pt idx="3">
                  <c:v>33906.658878504677</c:v>
                </c:pt>
                <c:pt idx="4">
                  <c:v>34991.67196261682</c:v>
                </c:pt>
                <c:pt idx="5">
                  <c:v>36111.405465420561</c:v>
                </c:pt>
                <c:pt idx="6">
                  <c:v>37266.97044031402</c:v>
                </c:pt>
                <c:pt idx="7">
                  <c:v>38459.513494404069</c:v>
                </c:pt>
                <c:pt idx="8">
                  <c:v>39690.217926224999</c:v>
                </c:pt>
                <c:pt idx="9">
                  <c:v>40960.304899864197</c:v>
                </c:pt>
                <c:pt idx="10">
                  <c:v>42271.034656659853</c:v>
                </c:pt>
                <c:pt idx="11">
                  <c:v>43623.707765672967</c:v>
                </c:pt>
                <c:pt idx="12">
                  <c:v>45019.666414174499</c:v>
                </c:pt>
                <c:pt idx="13">
                  <c:v>46460.295739428075</c:v>
                </c:pt>
                <c:pt idx="14">
                  <c:v>47947.025203089775</c:v>
                </c:pt>
                <c:pt idx="15">
                  <c:v>49481.330009588659</c:v>
                </c:pt>
                <c:pt idx="16">
                  <c:v>51064.732569895488</c:v>
                </c:pt>
                <c:pt idx="17">
                  <c:v>52698.804012132146</c:v>
                </c:pt>
                <c:pt idx="18">
                  <c:v>54385.165740520373</c:v>
                </c:pt>
                <c:pt idx="19">
                  <c:v>56125.491044217029</c:v>
                </c:pt>
                <c:pt idx="20">
                  <c:v>57921.506757631985</c:v>
                </c:pt>
                <c:pt idx="21">
                  <c:v>59774.994973876201</c:v>
                </c:pt>
                <c:pt idx="22">
                  <c:v>61687.794813040251</c:v>
                </c:pt>
                <c:pt idx="23">
                  <c:v>63661.804247057531</c:v>
                </c:pt>
                <c:pt idx="24">
                  <c:v>65698.981982963378</c:v>
                </c:pt>
                <c:pt idx="25">
                  <c:v>67801.349406418201</c:v>
                </c:pt>
                <c:pt idx="26">
                  <c:v>69970.992587423578</c:v>
                </c:pt>
                <c:pt idx="27">
                  <c:v>72210.064350221131</c:v>
                </c:pt>
                <c:pt idx="28">
                  <c:v>74520.786409428227</c:v>
                </c:pt>
                <c:pt idx="29">
                  <c:v>76905.451574529914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E6-4ABC-BC94-5C20A99C7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  <c:min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Costs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Variables'!$AX$4:$AX$33</c:f>
              <c:numCache>
                <c:formatCode>_-* #,##0_-;\-* #,##0_-;_-* "-"??_-;_-@_-</c:formatCode>
                <c:ptCount val="30"/>
                <c:pt idx="0">
                  <c:v>21083.78</c:v>
                </c:pt>
                <c:pt idx="1">
                  <c:v>21639.628430019824</c:v>
                </c:pt>
                <c:pt idx="2">
                  <c:v>22282.804688756631</c:v>
                </c:pt>
                <c:pt idx="3">
                  <c:v>22973.255368146099</c:v>
                </c:pt>
                <c:pt idx="4">
                  <c:v>23685.653756389002</c:v>
                </c:pt>
                <c:pt idx="5">
                  <c:v>24461.403354816037</c:v>
                </c:pt>
                <c:pt idx="6">
                  <c:v>25262.978254019014</c:v>
                </c:pt>
                <c:pt idx="7">
                  <c:v>26081.823755613506</c:v>
                </c:pt>
                <c:pt idx="8">
                  <c:v>26875.41617356216</c:v>
                </c:pt>
                <c:pt idx="9">
                  <c:v>27692.867921615405</c:v>
                </c:pt>
                <c:pt idx="10">
                  <c:v>28496.683795302073</c:v>
                </c:pt>
                <c:pt idx="11">
                  <c:v>29321.090482989872</c:v>
                </c:pt>
                <c:pt idx="12">
                  <c:v>30152.903333530896</c:v>
                </c:pt>
                <c:pt idx="13">
                  <c:v>31015.719709921454</c:v>
                </c:pt>
                <c:pt idx="14">
                  <c:v>31901.973034745843</c:v>
                </c:pt>
                <c:pt idx="15">
                  <c:v>32773.378429549222</c:v>
                </c:pt>
                <c:pt idx="16">
                  <c:v>33680.632537345671</c:v>
                </c:pt>
                <c:pt idx="17">
                  <c:v>34632.92024113459</c:v>
                </c:pt>
                <c:pt idx="18">
                  <c:v>35626.105467119465</c:v>
                </c:pt>
                <c:pt idx="19">
                  <c:v>36665.639451421281</c:v>
                </c:pt>
                <c:pt idx="20">
                  <c:v>37748.346450761834</c:v>
                </c:pt>
                <c:pt idx="21">
                  <c:v>38877.497273295914</c:v>
                </c:pt>
                <c:pt idx="22">
                  <c:v>40050.55101138055</c:v>
                </c:pt>
                <c:pt idx="23">
                  <c:v>41269.411298367268</c:v>
                </c:pt>
                <c:pt idx="24">
                  <c:v>42531.922153388703</c:v>
                </c:pt>
                <c:pt idx="25">
                  <c:v>43839.084279985778</c:v>
                </c:pt>
                <c:pt idx="26">
                  <c:v>45189.038568101823</c:v>
                </c:pt>
                <c:pt idx="27">
                  <c:v>46582.289544237879</c:v>
                </c:pt>
                <c:pt idx="28">
                  <c:v>48017.414445361574</c:v>
                </c:pt>
                <c:pt idx="29">
                  <c:v>49494.903339284996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5C-4FCF-93A6-0992FEE38E75}"/>
            </c:ext>
          </c:extLst>
        </c:ser>
        <c:ser>
          <c:idx val="1"/>
          <c:order val="1"/>
          <c:tx>
            <c:v>Alternnative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'Main Variables'!$A$4:$A$33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Variables'!$BD$4:$BD$33</c:f>
              <c:numCache>
                <c:formatCode>_-* #,##0_-;\-* #,##0_-;_-* "-"??_-;_-@_-</c:formatCode>
                <c:ptCount val="30"/>
                <c:pt idx="0">
                  <c:v>21083.78</c:v>
                </c:pt>
                <c:pt idx="1">
                  <c:v>21639.628430019824</c:v>
                </c:pt>
                <c:pt idx="2">
                  <c:v>22282.804688756631</c:v>
                </c:pt>
                <c:pt idx="3">
                  <c:v>22973.255368146099</c:v>
                </c:pt>
                <c:pt idx="4">
                  <c:v>23685.653756389002</c:v>
                </c:pt>
                <c:pt idx="5">
                  <c:v>24461.403354816037</c:v>
                </c:pt>
                <c:pt idx="6">
                  <c:v>25262.978254019014</c:v>
                </c:pt>
                <c:pt idx="7">
                  <c:v>26081.823755613506</c:v>
                </c:pt>
                <c:pt idx="8">
                  <c:v>26875.41617356216</c:v>
                </c:pt>
                <c:pt idx="9">
                  <c:v>27692.867921615405</c:v>
                </c:pt>
                <c:pt idx="10">
                  <c:v>28496.683795302073</c:v>
                </c:pt>
                <c:pt idx="11">
                  <c:v>29321.090482989872</c:v>
                </c:pt>
                <c:pt idx="12">
                  <c:v>30152.903333530896</c:v>
                </c:pt>
                <c:pt idx="13">
                  <c:v>31015.719709921454</c:v>
                </c:pt>
                <c:pt idx="14">
                  <c:v>31901.973034745843</c:v>
                </c:pt>
                <c:pt idx="15">
                  <c:v>32773.378429549222</c:v>
                </c:pt>
                <c:pt idx="16">
                  <c:v>33680.632537345671</c:v>
                </c:pt>
                <c:pt idx="17">
                  <c:v>34632.92024113459</c:v>
                </c:pt>
                <c:pt idx="18">
                  <c:v>35626.105467119465</c:v>
                </c:pt>
                <c:pt idx="19">
                  <c:v>36665.639451421281</c:v>
                </c:pt>
                <c:pt idx="20">
                  <c:v>37748.346450761834</c:v>
                </c:pt>
                <c:pt idx="21">
                  <c:v>38877.497273295914</c:v>
                </c:pt>
                <c:pt idx="22">
                  <c:v>40050.55101138055</c:v>
                </c:pt>
                <c:pt idx="23">
                  <c:v>41269.411298367268</c:v>
                </c:pt>
                <c:pt idx="24">
                  <c:v>42531.922153388703</c:v>
                </c:pt>
                <c:pt idx="25">
                  <c:v>43839.084279985778</c:v>
                </c:pt>
                <c:pt idx="26">
                  <c:v>45189.038568101823</c:v>
                </c:pt>
                <c:pt idx="27">
                  <c:v>46582.289544237879</c:v>
                </c:pt>
                <c:pt idx="28">
                  <c:v>48017.414445361574</c:v>
                </c:pt>
                <c:pt idx="29">
                  <c:v>49494.903339284996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5C-4FCF-93A6-0992FEE38E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Margin</a:t>
            </a:r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7.5575513613621494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Variables'!$AY$4:$AY$33</c:f>
              <c:numCache>
                <c:formatCode>_-* #,##0_-;\-* #,##0_-;_-* "-"??_-;_-@_-</c:formatCode>
                <c:ptCount val="30"/>
                <c:pt idx="0">
                  <c:v>10416.220000000001</c:v>
                </c:pt>
                <c:pt idx="1">
                  <c:v>10321.586523251204</c:v>
                </c:pt>
                <c:pt idx="2">
                  <c:v>10797.101853299442</c:v>
                </c:pt>
                <c:pt idx="3">
                  <c:v>10933.403510358577</c:v>
                </c:pt>
                <c:pt idx="4">
                  <c:v>11306.018206227818</c:v>
                </c:pt>
                <c:pt idx="5">
                  <c:v>11650.002110604524</c:v>
                </c:pt>
                <c:pt idx="6">
                  <c:v>12003.992186295007</c:v>
                </c:pt>
                <c:pt idx="7">
                  <c:v>12377.689738790563</c:v>
                </c:pt>
                <c:pt idx="8">
                  <c:v>12814.801752662839</c:v>
                </c:pt>
                <c:pt idx="9">
                  <c:v>13267.436978248792</c:v>
                </c:pt>
                <c:pt idx="10">
                  <c:v>13774.35086135778</c:v>
                </c:pt>
                <c:pt idx="11">
                  <c:v>14302.617282683095</c:v>
                </c:pt>
                <c:pt idx="12">
                  <c:v>14866.763080643603</c:v>
                </c:pt>
                <c:pt idx="13">
                  <c:v>15444.576029506621</c:v>
                </c:pt>
                <c:pt idx="14">
                  <c:v>16045.052168343933</c:v>
                </c:pt>
                <c:pt idx="15">
                  <c:v>16707.951580039437</c:v>
                </c:pt>
                <c:pt idx="16">
                  <c:v>17384.100032549817</c:v>
                </c:pt>
                <c:pt idx="17">
                  <c:v>18065.883770997556</c:v>
                </c:pt>
                <c:pt idx="18">
                  <c:v>18759.060273400908</c:v>
                </c:pt>
                <c:pt idx="19">
                  <c:v>19459.851592795749</c:v>
                </c:pt>
                <c:pt idx="20">
                  <c:v>20173.160306870152</c:v>
                </c:pt>
                <c:pt idx="21">
                  <c:v>20897.497700580287</c:v>
                </c:pt>
                <c:pt idx="22">
                  <c:v>21637.243801659701</c:v>
                </c:pt>
                <c:pt idx="23">
                  <c:v>22392.392948690263</c:v>
                </c:pt>
                <c:pt idx="24">
                  <c:v>23167.059829574675</c:v>
                </c:pt>
                <c:pt idx="25">
                  <c:v>23962.265126432423</c:v>
                </c:pt>
                <c:pt idx="26">
                  <c:v>24781.954019321754</c:v>
                </c:pt>
                <c:pt idx="27">
                  <c:v>25627.774805983252</c:v>
                </c:pt>
                <c:pt idx="28">
                  <c:v>26503.371964066653</c:v>
                </c:pt>
                <c:pt idx="29">
                  <c:v>27410.548235244918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53-485A-A9BF-5BEA4F770EDE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Variables'!$BE$4:$BE$33</c:f>
              <c:numCache>
                <c:formatCode>_-* #,##0_-;\-* #,##0_-;_-* "-"??_-;_-@_-</c:formatCode>
                <c:ptCount val="30"/>
                <c:pt idx="0">
                  <c:v>10416.220000000001</c:v>
                </c:pt>
                <c:pt idx="1">
                  <c:v>10321.586523251204</c:v>
                </c:pt>
                <c:pt idx="2">
                  <c:v>10797.101853299442</c:v>
                </c:pt>
                <c:pt idx="3">
                  <c:v>10933.403510358577</c:v>
                </c:pt>
                <c:pt idx="4">
                  <c:v>11306.018206227818</c:v>
                </c:pt>
                <c:pt idx="5">
                  <c:v>11650.002110604524</c:v>
                </c:pt>
                <c:pt idx="6">
                  <c:v>12003.992186295007</c:v>
                </c:pt>
                <c:pt idx="7">
                  <c:v>12377.689738790563</c:v>
                </c:pt>
                <c:pt idx="8">
                  <c:v>12814.801752662839</c:v>
                </c:pt>
                <c:pt idx="9">
                  <c:v>13267.436978248792</c:v>
                </c:pt>
                <c:pt idx="10">
                  <c:v>13774.35086135778</c:v>
                </c:pt>
                <c:pt idx="11">
                  <c:v>14302.617282683095</c:v>
                </c:pt>
                <c:pt idx="12">
                  <c:v>14866.763080643603</c:v>
                </c:pt>
                <c:pt idx="13">
                  <c:v>15444.576029506621</c:v>
                </c:pt>
                <c:pt idx="14">
                  <c:v>16045.052168343933</c:v>
                </c:pt>
                <c:pt idx="15">
                  <c:v>16707.951580039437</c:v>
                </c:pt>
                <c:pt idx="16">
                  <c:v>17384.100032549817</c:v>
                </c:pt>
                <c:pt idx="17">
                  <c:v>18065.883770997556</c:v>
                </c:pt>
                <c:pt idx="18">
                  <c:v>18759.060273400908</c:v>
                </c:pt>
                <c:pt idx="19">
                  <c:v>19459.851592795749</c:v>
                </c:pt>
                <c:pt idx="20">
                  <c:v>20173.160306870152</c:v>
                </c:pt>
                <c:pt idx="21">
                  <c:v>20897.497700580287</c:v>
                </c:pt>
                <c:pt idx="22">
                  <c:v>21637.243801659701</c:v>
                </c:pt>
                <c:pt idx="23">
                  <c:v>22392.392948690263</c:v>
                </c:pt>
                <c:pt idx="24">
                  <c:v>23167.059829574675</c:v>
                </c:pt>
                <c:pt idx="25">
                  <c:v>23962.265126432423</c:v>
                </c:pt>
                <c:pt idx="26">
                  <c:v>24781.954019321754</c:v>
                </c:pt>
                <c:pt idx="27">
                  <c:v>25627.774805983252</c:v>
                </c:pt>
                <c:pt idx="28">
                  <c:v>26503.371964066653</c:v>
                </c:pt>
                <c:pt idx="29">
                  <c:v>27410.548235244918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53-485A-A9BF-5BEA4F770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 baseline="0"/>
              <a:t>Break Even Yield</a:t>
            </a:r>
          </a:p>
          <a:p>
            <a:pPr algn="l">
              <a:defRPr/>
            </a:pPr>
            <a:r>
              <a:rPr lang="en-AU" sz="1400" baseline="0"/>
              <a:t>Kg/ha</a:t>
            </a:r>
            <a:endParaRPr lang="en-AU" sz="1400"/>
          </a:p>
        </c:rich>
      </c:tx>
      <c:layout>
        <c:manualLayout>
          <c:xMode val="edge"/>
          <c:yMode val="edge"/>
          <c:x val="7.5912480898341359E-3"/>
          <c:y val="5.64978550318570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32816123984591"/>
          <c:y val="0.24158957476960452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Baseline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Variables'!$AZ$4:$AZ$33</c:f>
              <c:numCache>
                <c:formatCode>_-* #,##0_-;\-* #,##0_-;_-* "-"??_-;_-@_-</c:formatCode>
                <c:ptCount val="30"/>
                <c:pt idx="0">
                  <c:v>29.265229629629626</c:v>
                </c:pt>
                <c:pt idx="1">
                  <c:v>29.620719554556285</c:v>
                </c:pt>
                <c:pt idx="2">
                  <c:v>29.471264505051082</c:v>
                </c:pt>
                <c:pt idx="3">
                  <c:v>29.658268716981453</c:v>
                </c:pt>
                <c:pt idx="4">
                  <c:v>29.636654982852988</c:v>
                </c:pt>
                <c:pt idx="5">
                  <c:v>29.668160829378603</c:v>
                </c:pt>
                <c:pt idx="6">
                  <c:v>29.699944601562599</c:v>
                </c:pt>
                <c:pt idx="7">
                  <c:v>29.72056686211786</c:v>
                </c:pt>
                <c:pt idx="8">
                  <c:v>29.680001660814696</c:v>
                </c:pt>
                <c:pt idx="9">
                  <c:v>29.638943365128085</c:v>
                </c:pt>
                <c:pt idx="10">
                  <c:v>29.555191431952153</c:v>
                </c:pt>
                <c:pt idx="11">
                  <c:v>29.468542940740665</c:v>
                </c:pt>
                <c:pt idx="12">
                  <c:v>29.364896820236581</c:v>
                </c:pt>
                <c:pt idx="13">
                  <c:v>29.268872971196288</c:v>
                </c:pt>
                <c:pt idx="14">
                  <c:v>29.171761693710057</c:v>
                </c:pt>
                <c:pt idx="15">
                  <c:v>29.036879542103492</c:v>
                </c:pt>
                <c:pt idx="16">
                  <c:v>28.913463317601394</c:v>
                </c:pt>
                <c:pt idx="17">
                  <c:v>28.808054896833937</c:v>
                </c:pt>
                <c:pt idx="18">
                  <c:v>28.71486681393991</c:v>
                </c:pt>
                <c:pt idx="19">
                  <c:v>28.636689637031548</c:v>
                </c:pt>
                <c:pt idx="20">
                  <c:v>28.568925498279533</c:v>
                </c:pt>
                <c:pt idx="21">
                  <c:v>28.512479911578755</c:v>
                </c:pt>
                <c:pt idx="22">
                  <c:v>28.463667224545887</c:v>
                </c:pt>
                <c:pt idx="23">
                  <c:v>28.422434232765436</c:v>
                </c:pt>
                <c:pt idx="24">
                  <c:v>28.38578320366129</c:v>
                </c:pt>
                <c:pt idx="25">
                  <c:v>28.353196776241589</c:v>
                </c:pt>
                <c:pt idx="26">
                  <c:v>28.322263531228757</c:v>
                </c:pt>
                <c:pt idx="27">
                  <c:v>28.292352937388028</c:v>
                </c:pt>
                <c:pt idx="28">
                  <c:v>28.261671344860421</c:v>
                </c:pt>
                <c:pt idx="29">
                  <c:v>28.229779199971158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4B-4A77-A28E-D14B471E5581}"/>
            </c:ext>
          </c:extLst>
        </c:ser>
        <c:ser>
          <c:idx val="1"/>
          <c:order val="1"/>
          <c:tx>
            <c:v>Alternative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'Almonds Margin - Alternative'!$A$7:$A$36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'Main Variables'!$BF$4:$BF$33</c:f>
              <c:numCache>
                <c:formatCode>_-* #,##0_-;\-* #,##0_-;_-* "-"??_-;_-@_-</c:formatCode>
                <c:ptCount val="30"/>
                <c:pt idx="0">
                  <c:v>29.265229629629626</c:v>
                </c:pt>
                <c:pt idx="1">
                  <c:v>29.620719554556285</c:v>
                </c:pt>
                <c:pt idx="2">
                  <c:v>29.471264505051082</c:v>
                </c:pt>
                <c:pt idx="3">
                  <c:v>29.658268716981453</c:v>
                </c:pt>
                <c:pt idx="4">
                  <c:v>29.636654982852988</c:v>
                </c:pt>
                <c:pt idx="5">
                  <c:v>29.668160829378603</c:v>
                </c:pt>
                <c:pt idx="6">
                  <c:v>29.699944601562599</c:v>
                </c:pt>
                <c:pt idx="7">
                  <c:v>29.72056686211786</c:v>
                </c:pt>
                <c:pt idx="8">
                  <c:v>29.680001660814696</c:v>
                </c:pt>
                <c:pt idx="9">
                  <c:v>29.638943365128085</c:v>
                </c:pt>
                <c:pt idx="10">
                  <c:v>29.555191431952153</c:v>
                </c:pt>
                <c:pt idx="11">
                  <c:v>29.468542940740665</c:v>
                </c:pt>
                <c:pt idx="12">
                  <c:v>29.364896820236581</c:v>
                </c:pt>
                <c:pt idx="13">
                  <c:v>29.268872971196288</c:v>
                </c:pt>
                <c:pt idx="14">
                  <c:v>29.171761693710057</c:v>
                </c:pt>
                <c:pt idx="15">
                  <c:v>29.036879542103492</c:v>
                </c:pt>
                <c:pt idx="16">
                  <c:v>28.913463317601394</c:v>
                </c:pt>
                <c:pt idx="17">
                  <c:v>28.808054896833937</c:v>
                </c:pt>
                <c:pt idx="18">
                  <c:v>28.71486681393991</c:v>
                </c:pt>
                <c:pt idx="19">
                  <c:v>28.636689637031548</c:v>
                </c:pt>
                <c:pt idx="20">
                  <c:v>28.568925498279533</c:v>
                </c:pt>
                <c:pt idx="21">
                  <c:v>28.512479911578755</c:v>
                </c:pt>
                <c:pt idx="22">
                  <c:v>28.463667224545887</c:v>
                </c:pt>
                <c:pt idx="23">
                  <c:v>28.422434232765436</c:v>
                </c:pt>
                <c:pt idx="24">
                  <c:v>28.38578320366129</c:v>
                </c:pt>
                <c:pt idx="25">
                  <c:v>28.353196776241589</c:v>
                </c:pt>
                <c:pt idx="26">
                  <c:v>28.322263531228757</c:v>
                </c:pt>
                <c:pt idx="27">
                  <c:v>28.292352937388028</c:v>
                </c:pt>
                <c:pt idx="28">
                  <c:v>28.261671344860421</c:v>
                </c:pt>
                <c:pt idx="29">
                  <c:v>28.229779199971158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4B-4A77-A28E-D14B471E55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Baseline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38367894275789749"/>
          <c:y val="0.447586967327793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313338286054507E-2"/>
          <c:y val="2.2055016162161333E-2"/>
          <c:w val="0.75124606570145214"/>
          <c:h val="0.97794499999999995"/>
        </c:manualLayout>
      </c:layout>
      <c:doughnutChart>
        <c:varyColors val="1"/>
        <c:ser>
          <c:idx val="0"/>
          <c:order val="0"/>
          <c:tx>
            <c:v>Baseline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B5D-4CA6-8579-66F79F1BCE1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B5D-4CA6-8579-66F79F1BCE1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B5D-4CA6-8579-66F79F1BCE1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B5D-4CA6-8579-66F79F1BCE1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B5D-4CA6-8579-66F79F1BCE1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5D-4CA6-8579-66F79F1BCE1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B5D-4CA6-8579-66F79F1BCE1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5D-4CA6-8579-66F79F1BCE1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B5D-4CA6-8579-66F79F1BCE1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B5D-4CA6-8579-66F79F1BCE1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B5D-4CA6-8579-66F79F1BCE17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graphs!$J$26:$J$36</c:f>
              <c:numCache>
                <c:formatCode>0</c:formatCode>
                <c:ptCount val="11"/>
                <c:pt idx="0">
                  <c:v>1137.25</c:v>
                </c:pt>
                <c:pt idx="1">
                  <c:v>61.199999999999996</c:v>
                </c:pt>
                <c:pt idx="2">
                  <c:v>721.77</c:v>
                </c:pt>
                <c:pt idx="3" formatCode="#,##0">
                  <c:v>362.46</c:v>
                </c:pt>
                <c:pt idx="4" formatCode="#,##0">
                  <c:v>8740</c:v>
                </c:pt>
                <c:pt idx="5">
                  <c:v>1125</c:v>
                </c:pt>
                <c:pt idx="6" formatCode="#,##0">
                  <c:v>2100</c:v>
                </c:pt>
                <c:pt idx="7" formatCode="#,##0">
                  <c:v>3510</c:v>
                </c:pt>
                <c:pt idx="8">
                  <c:v>1543</c:v>
                </c:pt>
                <c:pt idx="9" formatCode="#,##0">
                  <c:v>1578.3500000000001</c:v>
                </c:pt>
                <c:pt idx="10">
                  <c:v>204.75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B5D-4CA6-8579-66F79F1BC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3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2800"/>
              <a:t>Alternative</a:t>
            </a:r>
          </a:p>
          <a:p>
            <a:pPr>
              <a:defRPr sz="2800"/>
            </a:pPr>
            <a:endParaRPr lang="en-AU" sz="2800"/>
          </a:p>
        </c:rich>
      </c:tx>
      <c:layout>
        <c:manualLayout>
          <c:xMode val="edge"/>
          <c:yMode val="edge"/>
          <c:x val="0.40775064626468854"/>
          <c:y val="0.566901101008962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249180771754643"/>
          <c:y val="0.32768540252312223"/>
          <c:w val="0.61722379849848585"/>
          <c:h val="0.59737972447062326"/>
        </c:manualLayout>
      </c:layout>
      <c:doughnutChart>
        <c:varyColors val="1"/>
        <c:ser>
          <c:idx val="0"/>
          <c:order val="0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2CA-4EDB-B0AE-D7B38BC4B3D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2CA-4EDB-B0AE-D7B38BC4B3D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2CA-4EDB-B0AE-D7B38BC4B3D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2CA-4EDB-B0AE-D7B38BC4B3D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2CA-4EDB-B0AE-D7B38BC4B3D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2CA-4EDB-B0AE-D7B38BC4B3D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2CA-4EDB-B0AE-D7B38BC4B3D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2CA-4EDB-B0AE-D7B38BC4B3D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2CA-4EDB-B0AE-D7B38BC4B3D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2CA-4EDB-B0AE-D7B38BC4B3D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2CA-4EDB-B0AE-D7B38BC4B3D6}"/>
              </c:ext>
            </c:extLst>
          </c:dPt>
          <c:cat>
            <c:strRef>
              <c:f>graphs!$B$3:$B$13</c:f>
              <c:strCache>
                <c:ptCount val="11"/>
                <c:pt idx="0">
                  <c:v>Fertiliser</c:v>
                </c:pt>
                <c:pt idx="1">
                  <c:v>Herbicides</c:v>
                </c:pt>
                <c:pt idx="2">
                  <c:v>Insecticides</c:v>
                </c:pt>
                <c:pt idx="3">
                  <c:v>Fungicides</c:v>
                </c:pt>
                <c:pt idx="4">
                  <c:v>Other chemicals</c:v>
                </c:pt>
                <c:pt idx="5">
                  <c:v>Freight</c:v>
                </c:pt>
                <c:pt idx="6">
                  <c:v>Operations</c:v>
                </c:pt>
                <c:pt idx="7">
                  <c:v>Irrigation</c:v>
                </c:pt>
                <c:pt idx="8">
                  <c:v>Crop Load Management</c:v>
                </c:pt>
                <c:pt idx="9">
                  <c:v>Levies</c:v>
                </c:pt>
                <c:pt idx="10">
                  <c:v>Commission</c:v>
                </c:pt>
              </c:strCache>
            </c:strRef>
          </c:cat>
          <c:val>
            <c:numRef>
              <c:f>graphs!$K$26:$K$36</c:f>
              <c:numCache>
                <c:formatCode>0</c:formatCode>
                <c:ptCount val="11"/>
                <c:pt idx="0">
                  <c:v>1137.25</c:v>
                </c:pt>
                <c:pt idx="1">
                  <c:v>61.199999999999996</c:v>
                </c:pt>
                <c:pt idx="2">
                  <c:v>721.77</c:v>
                </c:pt>
                <c:pt idx="3" formatCode="#,##0">
                  <c:v>362.46</c:v>
                </c:pt>
                <c:pt idx="4" formatCode="#,##0">
                  <c:v>8740</c:v>
                </c:pt>
                <c:pt idx="5">
                  <c:v>1125</c:v>
                </c:pt>
                <c:pt idx="6" formatCode="#,##0">
                  <c:v>2100</c:v>
                </c:pt>
                <c:pt idx="7" formatCode="#,##0">
                  <c:v>3510</c:v>
                </c:pt>
                <c:pt idx="8">
                  <c:v>1543</c:v>
                </c:pt>
                <c:pt idx="9" formatCode="#,##0">
                  <c:v>1578.3500000000001</c:v>
                </c:pt>
                <c:pt idx="10">
                  <c:v>204.75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82CA-4EDB-B0AE-D7B38BC4B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1088493018262641E-2"/>
          <c:y val="1.6926103985298757E-2"/>
          <c:w val="0.97891150698173734"/>
          <c:h val="0.278173853321701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20902555349653"/>
          <c:y val="6.5081539966283075E-2"/>
          <c:w val="0.76525677728652797"/>
          <c:h val="0.86981899729968526"/>
        </c:manualLayout>
      </c:layout>
      <c:doughnutChart>
        <c:varyColors val="1"/>
        <c:ser>
          <c:idx val="0"/>
          <c:order val="0"/>
          <c:tx>
            <c:strRef>
              <c:f>graphs!$D$17</c:f>
              <c:strCache>
                <c:ptCount val="1"/>
                <c:pt idx="0">
                  <c:v>Baseline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7F3-43BE-B463-FB8645583B2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7F3-43BE-B463-FB8645583B2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7F3-43BE-B463-FB8645583B2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graphs!$J$41:$J$43</c:f>
              <c:numCache>
                <c:formatCode>0</c:formatCode>
                <c:ptCount val="3"/>
                <c:pt idx="0" formatCode="#,##0">
                  <c:v>31500</c:v>
                </c:pt>
                <c:pt idx="1">
                  <c:v>21083.78</c:v>
                </c:pt>
                <c:pt idx="2">
                  <c:v>10416.220000000001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7F3-43BE-B463-FB8645583B28}"/>
            </c:ext>
          </c:extLst>
        </c:ser>
        <c:ser>
          <c:idx val="1"/>
          <c:order val="1"/>
          <c:tx>
            <c:v>Alternative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57F3-43BE-B463-FB8645583B2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57F3-43BE-B463-FB8645583B2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57F3-43BE-B463-FB8645583B2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graphs!$B$18:$B$20</c:f>
              <c:strCache>
                <c:ptCount val="3"/>
                <c:pt idx="0">
                  <c:v>Gross Income</c:v>
                </c:pt>
                <c:pt idx="1">
                  <c:v>Total Cost </c:v>
                </c:pt>
                <c:pt idx="2">
                  <c:v>Margin</c:v>
                </c:pt>
              </c:strCache>
            </c:strRef>
          </c:cat>
          <c:val>
            <c:numRef>
              <c:f>graphs!$K$41:$K$43</c:f>
              <c:numCache>
                <c:formatCode>#,##0</c:formatCode>
                <c:ptCount val="3"/>
                <c:pt idx="0">
                  <c:v>31500</c:v>
                </c:pt>
                <c:pt idx="1">
                  <c:v>21083.78</c:v>
                </c:pt>
                <c:pt idx="2">
                  <c:v>10416.220000000001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7F3-43BE-B463-FB8645583B28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2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E8FEE2">
        <a:alpha val="20000"/>
      </a:srgb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Margin </a:t>
            </a:r>
            <a:r>
              <a:rPr lang="en-AU" sz="1500" b="1"/>
              <a:t>2021/22</a:t>
            </a:r>
            <a:endParaRPr lang="en-AU" sz="1500" b="1" baseline="0"/>
          </a:p>
          <a:p>
            <a:pPr algn="l">
              <a:defRPr/>
            </a:pPr>
            <a:r>
              <a:rPr lang="en-AU" sz="1400" baseline="0"/>
              <a:t>$/ha</a:t>
            </a:r>
            <a:endParaRPr lang="en-AU" sz="1400"/>
          </a:p>
        </c:rich>
      </c:tx>
      <c:layout>
        <c:manualLayout>
          <c:xMode val="edge"/>
          <c:yMode val="edge"/>
          <c:x val="1.3910116209419553E-2"/>
          <c:y val="3.7969546348989494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C6591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5D0-4101-9147-62D29D381FCA}"/>
              </c:ext>
            </c:extLst>
          </c:dPt>
          <c:dPt>
            <c:idx val="1"/>
            <c:invertIfNegative val="0"/>
            <c:bubble3D val="0"/>
            <c:spPr>
              <a:solidFill>
                <a:srgbClr val="9933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5D0-4101-9147-62D29D381FCA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4-C5D0-4101-9147-62D29D381FCA}"/>
              </c:ext>
            </c:extLst>
          </c:dPt>
          <c:cat>
            <c:strRef>
              <c:f>'Compiled Results'!$C$19:$E$19</c:f>
              <c:strCache>
                <c:ptCount val="3"/>
                <c:pt idx="0">
                  <c:v>Almonds</c:v>
                </c:pt>
                <c:pt idx="1">
                  <c:v>Grapes</c:v>
                </c:pt>
                <c:pt idx="2">
                  <c:v>Citrus</c:v>
                </c:pt>
              </c:strCache>
            </c:strRef>
          </c:cat>
          <c:val>
            <c:numRef>
              <c:f>'Compiled Results'!$C$20:$E$20</c:f>
              <c:numCache>
                <c:formatCode>_-* #,##0_-;\-* #,##0_-;_-* "-"??_-;_-@_-</c:formatCode>
                <c:ptCount val="3"/>
                <c:pt idx="0">
                  <c:v>2059.8680000000004</c:v>
                </c:pt>
                <c:pt idx="1">
                  <c:v>0</c:v>
                </c:pt>
                <c:pt idx="2">
                  <c:v>6262.3989999999994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v>Baseline</c:v>
                </c15:tx>
              </c15:filteredSeriesTitle>
            </c:ext>
            <c:ext xmlns:c16="http://schemas.microsoft.com/office/drawing/2014/chart" uri="{C3380CC4-5D6E-409C-BE32-E72D297353CC}">
              <c16:uniqueId val="{00000001-C5D0-4101-9147-62D29D381F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84642656"/>
        <c:axId val="384642000"/>
      </c:bar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600" b="1"/>
              <a:t>Margin Forecast</a:t>
            </a:r>
            <a:endParaRPr lang="en-AU" sz="1600" b="1" baseline="0"/>
          </a:p>
          <a:p>
            <a:pPr algn="l">
              <a:defRPr/>
            </a:pPr>
            <a:r>
              <a:rPr lang="en-AU" sz="1400" baseline="0"/>
              <a:t>$/ha - Current Prices</a:t>
            </a:r>
            <a:endParaRPr lang="en-AU" sz="1400"/>
          </a:p>
        </c:rich>
      </c:tx>
      <c:layout>
        <c:manualLayout>
          <c:xMode val="edge"/>
          <c:yMode val="edge"/>
          <c:x val="1.3910116209419553E-2"/>
          <c:y val="3.7969546348989494E-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63892013498312"/>
          <c:y val="0.2527683615819209"/>
          <c:w val="0.85256037439764476"/>
          <c:h val="0.57517950086747627"/>
        </c:manualLayout>
      </c:layout>
      <c:lineChart>
        <c:grouping val="standard"/>
        <c:varyColors val="0"/>
        <c:ser>
          <c:idx val="0"/>
          <c:order val="0"/>
          <c:tx>
            <c:v>Vegetables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'Compiled Results'!$B$20:$B$49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'Compiled Results'!$E$20:$E$49</c:f>
              <c:numCache>
                <c:formatCode>_-* #,##0_-;\-* #,##0_-;_-* "-"??_-;_-@_-</c:formatCode>
                <c:ptCount val="30"/>
                <c:pt idx="0">
                  <c:v>6262.3989999999994</c:v>
                </c:pt>
                <c:pt idx="1">
                  <c:v>6235.4158518549957</c:v>
                </c:pt>
                <c:pt idx="2">
                  <c:v>6545.7825370847277</c:v>
                </c:pt>
                <c:pt idx="3">
                  <c:v>6630.9406310001395</c:v>
                </c:pt>
                <c:pt idx="4">
                  <c:v>6866.2450141906593</c:v>
                </c:pt>
                <c:pt idx="5">
                  <c:v>7068.1828371675711</c:v>
                </c:pt>
                <c:pt idx="6">
                  <c:v>7275.5729166535857</c:v>
                </c:pt>
                <c:pt idx="7">
                  <c:v>7498.0499074186118</c:v>
                </c:pt>
                <c:pt idx="8">
                  <c:v>7779.5360319299762</c:v>
                </c:pt>
                <c:pt idx="9">
                  <c:v>8071.5782836930084</c:v>
                </c:pt>
                <c:pt idx="10">
                  <c:v>8413.0956492873593</c:v>
                </c:pt>
                <c:pt idx="11">
                  <c:v>8770.7161168668754</c:v>
                </c:pt>
                <c:pt idx="12">
                  <c:v>9158.9152319950372</c:v>
                </c:pt>
                <c:pt idx="13">
                  <c:v>9555.1142381145582</c:v>
                </c:pt>
                <c:pt idx="14">
                  <c:v>9968.1999642684896</c:v>
                </c:pt>
                <c:pt idx="15">
                  <c:v>10438.076676108278</c:v>
                </c:pt>
                <c:pt idx="16">
                  <c:v>10914.95857498738</c:v>
                </c:pt>
                <c:pt idx="17">
                  <c:v>11390.964351708149</c:v>
                </c:pt>
                <c:pt idx="18">
                  <c:v>11871.69012972682</c:v>
                </c:pt>
                <c:pt idx="19">
                  <c:v>12353.109515885037</c:v>
                </c:pt>
                <c:pt idx="20">
                  <c:v>12839.942879678052</c:v>
                </c:pt>
                <c:pt idx="21">
                  <c:v>13330.458271805415</c:v>
                </c:pt>
                <c:pt idx="22">
                  <c:v>13828.834572181186</c:v>
                </c:pt>
                <c:pt idx="23">
                  <c:v>14334.820385872052</c:v>
                </c:pt>
                <c:pt idx="24">
                  <c:v>14852.311536268462</c:v>
                </c:pt>
                <c:pt idx="25">
                  <c:v>15382.075647681813</c:v>
                </c:pt>
                <c:pt idx="26">
                  <c:v>15927.821120166718</c:v>
                </c:pt>
                <c:pt idx="27">
                  <c:v>16490.931469645267</c:v>
                </c:pt>
                <c:pt idx="28">
                  <c:v>17074.794300386064</c:v>
                </c:pt>
                <c:pt idx="29">
                  <c:v>17680.930753473513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C6-48FF-8B1C-6BF4C3A1C0DA}"/>
            </c:ext>
          </c:extLst>
        </c:ser>
        <c:ser>
          <c:idx val="1"/>
          <c:order val="1"/>
          <c:tx>
            <c:v>Cherries</c:v>
          </c:tx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'Compiled Results'!$B$20:$B$49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'Compiled Results'!$C$20:$C$49</c:f>
              <c:numCache>
                <c:formatCode>_-* #,##0_-;\-* #,##0_-;_-* "-"??_-;_-@_-</c:formatCode>
                <c:ptCount val="30"/>
                <c:pt idx="0">
                  <c:v>2059.8680000000004</c:v>
                </c:pt>
                <c:pt idx="1">
                  <c:v>2045.8280888813351</c:v>
                </c:pt>
                <c:pt idx="2">
                  <c:v>2218.3459036180484</c:v>
                </c:pt>
                <c:pt idx="3">
                  <c:v>2209.9135599283309</c:v>
                </c:pt>
                <c:pt idx="4">
                  <c:v>2305.6392438067396</c:v>
                </c:pt>
                <c:pt idx="5">
                  <c:v>2344.9788064304666</c:v>
                </c:pt>
                <c:pt idx="6">
                  <c:v>2384.1093956448276</c:v>
                </c:pt>
                <c:pt idx="7">
                  <c:v>2436.7762195264477</c:v>
                </c:pt>
                <c:pt idx="8">
                  <c:v>2566.5586445017689</c:v>
                </c:pt>
                <c:pt idx="9">
                  <c:v>2702.7452042066834</c:v>
                </c:pt>
                <c:pt idx="10">
                  <c:v>2901.624789807287</c:v>
                </c:pt>
                <c:pt idx="11">
                  <c:v>3114.3905565163404</c:v>
                </c:pt>
                <c:pt idx="12">
                  <c:v>3361.7803229786914</c:v>
                </c:pt>
                <c:pt idx="13">
                  <c:v>3610.6577757654413</c:v>
                </c:pt>
                <c:pt idx="14">
                  <c:v>3873.616822552307</c:v>
                </c:pt>
                <c:pt idx="15">
                  <c:v>4208.3298135499426</c:v>
                </c:pt>
                <c:pt idx="16">
                  <c:v>4542.0794637612853</c:v>
                </c:pt>
                <c:pt idx="17">
                  <c:v>4863.0523358776263</c:v>
                </c:pt>
                <c:pt idx="18">
                  <c:v>5179.0151922145342</c:v>
                </c:pt>
                <c:pt idx="19">
                  <c:v>5483.7351419648294</c:v>
                </c:pt>
                <c:pt idx="20">
                  <c:v>5783.6819628856902</c:v>
                </c:pt>
                <c:pt idx="21">
                  <c:v>6075.933405529835</c:v>
                </c:pt>
                <c:pt idx="22">
                  <c:v>6366.1466136944837</c:v>
                </c:pt>
                <c:pt idx="23">
                  <c:v>6653.5252539733337</c:v>
                </c:pt>
                <c:pt idx="24">
                  <c:v>6943.2878525900996</c:v>
                </c:pt>
                <c:pt idx="25">
                  <c:v>7236.091366103552</c:v>
                </c:pt>
                <c:pt idx="26">
                  <c:v>7536.8529560015158</c:v>
                </c:pt>
                <c:pt idx="27">
                  <c:v>7847.0950361684409</c:v>
                </c:pt>
                <c:pt idx="28">
                  <c:v>8171.2376449160292</c:v>
                </c:pt>
                <c:pt idx="29">
                  <c:v>8510.9714760121133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C6-48FF-8B1C-6BF4C3A1C0DA}"/>
            </c:ext>
          </c:extLst>
        </c:ser>
        <c:ser>
          <c:idx val="2"/>
          <c:order val="2"/>
          <c:tx>
            <c:v>Cattle (Beef)</c:v>
          </c:tx>
          <c:spPr>
            <a:ln w="28575" cap="rnd">
              <a:solidFill>
                <a:schemeClr val="bg2"/>
              </a:solidFill>
              <a:round/>
            </a:ln>
            <a:effectLst/>
          </c:spPr>
          <c:marker>
            <c:symbol val="none"/>
          </c:marker>
          <c:cat>
            <c:numRef>
              <c:f>'Compiled Results'!$B$20:$B$49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'Compiled Results'!$F$20:$F$49</c:f>
              <c:numCache>
                <c:formatCode>_-* #,##0_-;\-* #,##0_-;_-* "-"??_-;_-@_-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C6-48FF-8B1C-6BF4C3A1C0DA}"/>
            </c:ext>
          </c:extLst>
        </c:ser>
        <c:ser>
          <c:idx val="3"/>
          <c:order val="3"/>
          <c:tx>
            <c:v>Grapes</c:v>
          </c:tx>
          <c:spPr>
            <a:ln w="28575" cap="rnd">
              <a:solidFill>
                <a:srgbClr val="9933FF"/>
              </a:solidFill>
              <a:round/>
            </a:ln>
            <a:effectLst/>
          </c:spPr>
          <c:marker>
            <c:symbol val="none"/>
          </c:marker>
          <c:cat>
            <c:numRef>
              <c:f>'Compiled Results'!$B$20:$B$49</c:f>
              <c:numCache>
                <c:formatCode>General</c:formatCode>
                <c:ptCount val="30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  <c:pt idx="7">
                  <c:v>2028</c:v>
                </c:pt>
                <c:pt idx="8">
                  <c:v>2029</c:v>
                </c:pt>
                <c:pt idx="9">
                  <c:v>2030</c:v>
                </c:pt>
                <c:pt idx="10">
                  <c:v>2031</c:v>
                </c:pt>
                <c:pt idx="11">
                  <c:v>2032</c:v>
                </c:pt>
                <c:pt idx="12">
                  <c:v>2033</c:v>
                </c:pt>
                <c:pt idx="13">
                  <c:v>2034</c:v>
                </c:pt>
                <c:pt idx="14">
                  <c:v>2035</c:v>
                </c:pt>
                <c:pt idx="15">
                  <c:v>2036</c:v>
                </c:pt>
                <c:pt idx="16">
                  <c:v>2037</c:v>
                </c:pt>
                <c:pt idx="17">
                  <c:v>2038</c:v>
                </c:pt>
                <c:pt idx="18">
                  <c:v>2039</c:v>
                </c:pt>
                <c:pt idx="19">
                  <c:v>2040</c:v>
                </c:pt>
                <c:pt idx="20">
                  <c:v>2041</c:v>
                </c:pt>
                <c:pt idx="21">
                  <c:v>2042</c:v>
                </c:pt>
                <c:pt idx="22">
                  <c:v>2043</c:v>
                </c:pt>
                <c:pt idx="23">
                  <c:v>2044</c:v>
                </c:pt>
                <c:pt idx="24">
                  <c:v>2045</c:v>
                </c:pt>
                <c:pt idx="25">
                  <c:v>2046</c:v>
                </c:pt>
                <c:pt idx="26">
                  <c:v>2047</c:v>
                </c:pt>
                <c:pt idx="27">
                  <c:v>2048</c:v>
                </c:pt>
                <c:pt idx="28">
                  <c:v>2049</c:v>
                </c:pt>
                <c:pt idx="29">
                  <c:v>2050</c:v>
                </c:pt>
              </c:numCache>
            </c:numRef>
          </c:cat>
          <c:val>
            <c:numRef>
              <c:f>'Compiled Results'!$D$20:$D$49</c:f>
              <c:numCache>
                <c:formatCode>_-* #,##0_-;\-* #,##0_-;_-* "-"??_-;_-@_-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6C6-48FF-8B1C-6BF4C3A1C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4642656"/>
        <c:axId val="384642000"/>
      </c:lineChart>
      <c:catAx>
        <c:axId val="384642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bg2">
                <a:lumMod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000"/>
        <c:crosses val="autoZero"/>
        <c:auto val="1"/>
        <c:lblAlgn val="ctr"/>
        <c:lblOffset val="100"/>
        <c:tickLblSkip val="7"/>
        <c:noMultiLvlLbl val="0"/>
      </c:catAx>
      <c:valAx>
        <c:axId val="38464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64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Contents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image" Target="../media/image2.png"/><Relationship Id="rId3" Type="http://schemas.openxmlformats.org/officeDocument/2006/relationships/image" Target="../media/image1.png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5" Type="http://schemas.openxmlformats.org/officeDocument/2006/relationships/image" Target="../media/image4.png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microsoft.com/office/2007/relationships/hdphoto" Target="../media/hdphoto1.wdp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12" Type="http://schemas.openxmlformats.org/officeDocument/2006/relationships/image" Target="../media/image5.png"/><Relationship Id="rId2" Type="http://schemas.openxmlformats.org/officeDocument/2006/relationships/chart" Target="../charts/chart13.xml"/><Relationship Id="rId16" Type="http://schemas.openxmlformats.org/officeDocument/2006/relationships/image" Target="../media/image4.png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image" Target="../media/image3.png"/><Relationship Id="rId10" Type="http://schemas.openxmlformats.org/officeDocument/2006/relationships/chart" Target="../charts/chart21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13" Type="http://schemas.openxmlformats.org/officeDocument/2006/relationships/image" Target="../media/image2.png"/><Relationship Id="rId3" Type="http://schemas.openxmlformats.org/officeDocument/2006/relationships/chart" Target="../charts/chart25.xml"/><Relationship Id="rId7" Type="http://schemas.openxmlformats.org/officeDocument/2006/relationships/chart" Target="../charts/chart29.xml"/><Relationship Id="rId12" Type="http://schemas.openxmlformats.org/officeDocument/2006/relationships/image" Target="../media/image6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6" Type="http://schemas.openxmlformats.org/officeDocument/2006/relationships/chart" Target="../charts/chart28.xml"/><Relationship Id="rId11" Type="http://schemas.openxmlformats.org/officeDocument/2006/relationships/chart" Target="../charts/chart33.xml"/><Relationship Id="rId5" Type="http://schemas.openxmlformats.org/officeDocument/2006/relationships/chart" Target="../charts/chart27.xml"/><Relationship Id="rId15" Type="http://schemas.openxmlformats.org/officeDocument/2006/relationships/image" Target="../media/image4.png"/><Relationship Id="rId10" Type="http://schemas.openxmlformats.org/officeDocument/2006/relationships/chart" Target="../charts/chart32.xml"/><Relationship Id="rId4" Type="http://schemas.openxmlformats.org/officeDocument/2006/relationships/chart" Target="../charts/chart26.xml"/><Relationship Id="rId9" Type="http://schemas.openxmlformats.org/officeDocument/2006/relationships/chart" Target="../charts/chart31.xml"/><Relationship Id="rId14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13" Type="http://schemas.openxmlformats.org/officeDocument/2006/relationships/image" Target="../media/image2.png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12" Type="http://schemas.openxmlformats.org/officeDocument/2006/relationships/image" Target="../media/image6.png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11" Type="http://schemas.openxmlformats.org/officeDocument/2006/relationships/chart" Target="../charts/chart44.xml"/><Relationship Id="rId5" Type="http://schemas.openxmlformats.org/officeDocument/2006/relationships/chart" Target="../charts/chart38.xml"/><Relationship Id="rId15" Type="http://schemas.openxmlformats.org/officeDocument/2006/relationships/image" Target="../media/image4.png"/><Relationship Id="rId10" Type="http://schemas.openxmlformats.org/officeDocument/2006/relationships/chart" Target="../charts/chart43.xml"/><Relationship Id="rId4" Type="http://schemas.openxmlformats.org/officeDocument/2006/relationships/chart" Target="../charts/chart37.xml"/><Relationship Id="rId9" Type="http://schemas.openxmlformats.org/officeDocument/2006/relationships/chart" Target="../charts/chart42.xml"/><Relationship Id="rId14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Contents!A1"/><Relationship Id="rId2" Type="http://schemas.openxmlformats.org/officeDocument/2006/relationships/chart" Target="../charts/chart46.xml"/><Relationship Id="rId1" Type="http://schemas.openxmlformats.org/officeDocument/2006/relationships/chart" Target="../charts/chart4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38100</xdr:rowOff>
    </xdr:from>
    <xdr:to>
      <xdr:col>3</xdr:col>
      <xdr:colOff>523350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114425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38100</xdr:rowOff>
    </xdr:from>
    <xdr:to>
      <xdr:col>6</xdr:col>
      <xdr:colOff>513825</xdr:colOff>
      <xdr:row>1</xdr:row>
      <xdr:rowOff>45600</xdr:rowOff>
    </xdr:to>
    <xdr:sp macro="" textlink="">
      <xdr:nvSpPr>
        <xdr:cNvPr id="3" name="Rounded 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04900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38100</xdr:rowOff>
    </xdr:from>
    <xdr:to>
      <xdr:col>2</xdr:col>
      <xdr:colOff>580500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114425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0</xdr:row>
      <xdr:rowOff>38100</xdr:rowOff>
    </xdr:from>
    <xdr:to>
      <xdr:col>2</xdr:col>
      <xdr:colOff>590025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123950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38100</xdr:rowOff>
    </xdr:from>
    <xdr:to>
      <xdr:col>2</xdr:col>
      <xdr:colOff>580500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14425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38100</xdr:rowOff>
    </xdr:from>
    <xdr:to>
      <xdr:col>2</xdr:col>
      <xdr:colOff>580500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12A854-1797-4097-BC21-4E50738FC54A}"/>
            </a:ext>
          </a:extLst>
        </xdr:cNvPr>
        <xdr:cNvSpPr/>
      </xdr:nvSpPr>
      <xdr:spPr>
        <a:xfrm>
          <a:off x="1114425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38100</xdr:rowOff>
    </xdr:from>
    <xdr:to>
      <xdr:col>2</xdr:col>
      <xdr:colOff>580500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E8C144-953E-4DD8-BC2E-F1226AEEB48C}"/>
            </a:ext>
          </a:extLst>
        </xdr:cNvPr>
        <xdr:cNvSpPr/>
      </xdr:nvSpPr>
      <xdr:spPr>
        <a:xfrm>
          <a:off x="1117600" y="38100"/>
          <a:ext cx="1155175" cy="201175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38100</xdr:rowOff>
    </xdr:from>
    <xdr:to>
      <xdr:col>2</xdr:col>
      <xdr:colOff>580500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3687D5-70B7-4659-8824-BCD5099222F2}"/>
            </a:ext>
          </a:extLst>
        </xdr:cNvPr>
        <xdr:cNvSpPr/>
      </xdr:nvSpPr>
      <xdr:spPr>
        <a:xfrm>
          <a:off x="1114425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38100</xdr:rowOff>
    </xdr:from>
    <xdr:to>
      <xdr:col>1</xdr:col>
      <xdr:colOff>580500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402FCD-9998-4AE5-9FF7-9F9FEC723FB6}"/>
            </a:ext>
          </a:extLst>
        </xdr:cNvPr>
        <xdr:cNvSpPr/>
      </xdr:nvSpPr>
      <xdr:spPr>
        <a:xfrm>
          <a:off x="1111250" y="38100"/>
          <a:ext cx="1215500" cy="19165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10762</xdr:colOff>
      <xdr:row>0</xdr:row>
      <xdr:rowOff>32288</xdr:rowOff>
    </xdr:from>
    <xdr:to>
      <xdr:col>5</xdr:col>
      <xdr:colOff>32287</xdr:colOff>
      <xdr:row>20</xdr:row>
      <xdr:rowOff>172203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DD2C31E-4B4F-7BD6-AC71-C0BC8992A309}"/>
            </a:ext>
          </a:extLst>
        </xdr:cNvPr>
        <xdr:cNvSpPr/>
      </xdr:nvSpPr>
      <xdr:spPr>
        <a:xfrm>
          <a:off x="10762" y="32288"/>
          <a:ext cx="7824491" cy="3885339"/>
        </a:xfrm>
        <a:prstGeom prst="rect">
          <a:avLst/>
        </a:prstGeom>
        <a:noFill/>
        <a:ln w="38100"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0</xdr:col>
      <xdr:colOff>0</xdr:colOff>
      <xdr:row>23</xdr:row>
      <xdr:rowOff>19844</xdr:rowOff>
    </xdr:from>
    <xdr:to>
      <xdr:col>5</xdr:col>
      <xdr:colOff>21525</xdr:colOff>
      <xdr:row>42</xdr:row>
      <xdr:rowOff>159759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4D8A2D0-999B-4691-AC23-A1EB0E1C7F07}"/>
            </a:ext>
          </a:extLst>
        </xdr:cNvPr>
        <xdr:cNvSpPr/>
      </xdr:nvSpPr>
      <xdr:spPr>
        <a:xfrm>
          <a:off x="0" y="4435078"/>
          <a:ext cx="7830041" cy="3989603"/>
        </a:xfrm>
        <a:prstGeom prst="rect">
          <a:avLst/>
        </a:prstGeom>
        <a:noFill/>
        <a:ln w="38100">
          <a:solidFill>
            <a:schemeClr val="accent6">
              <a:lumMod val="40000"/>
              <a:lumOff val="60000"/>
            </a:schemeClr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6</xdr:col>
      <xdr:colOff>10762</xdr:colOff>
      <xdr:row>0</xdr:row>
      <xdr:rowOff>32288</xdr:rowOff>
    </xdr:from>
    <xdr:to>
      <xdr:col>11</xdr:col>
      <xdr:colOff>32287</xdr:colOff>
      <xdr:row>20</xdr:row>
      <xdr:rowOff>172203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79046D0-23AF-4B2A-86BE-D6AFC06839E5}"/>
            </a:ext>
          </a:extLst>
        </xdr:cNvPr>
        <xdr:cNvSpPr/>
      </xdr:nvSpPr>
      <xdr:spPr>
        <a:xfrm>
          <a:off x="7587" y="29113"/>
          <a:ext cx="7832025" cy="3848315"/>
        </a:xfrm>
        <a:prstGeom prst="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6</xdr:col>
      <xdr:colOff>10762</xdr:colOff>
      <xdr:row>23</xdr:row>
      <xdr:rowOff>32288</xdr:rowOff>
    </xdr:from>
    <xdr:to>
      <xdr:col>11</xdr:col>
      <xdr:colOff>32287</xdr:colOff>
      <xdr:row>43</xdr:row>
      <xdr:rowOff>172203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2C201C8-4D5F-45A0-977F-A849A64AFD3C}"/>
            </a:ext>
          </a:extLst>
        </xdr:cNvPr>
        <xdr:cNvSpPr/>
      </xdr:nvSpPr>
      <xdr:spPr>
        <a:xfrm>
          <a:off x="8427687" y="29113"/>
          <a:ext cx="6365175" cy="3848315"/>
        </a:xfrm>
        <a:prstGeom prst="rect">
          <a:avLst/>
        </a:prstGeom>
        <a:noFill/>
        <a:ln w="38100"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0</xdr:row>
      <xdr:rowOff>38100</xdr:rowOff>
    </xdr:from>
    <xdr:to>
      <xdr:col>2</xdr:col>
      <xdr:colOff>590025</xdr:colOff>
      <xdr:row>1</xdr:row>
      <xdr:rowOff>45600</xdr:rowOff>
    </xdr:to>
    <xdr:sp macro="" textlink="">
      <xdr:nvSpPr>
        <xdr:cNvPr id="2" name="Rounded 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73D948-136A-4523-9974-3C0355883E4C}"/>
            </a:ext>
          </a:extLst>
        </xdr:cNvPr>
        <xdr:cNvSpPr/>
      </xdr:nvSpPr>
      <xdr:spPr>
        <a:xfrm>
          <a:off x="1123950" y="38100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495300</xdr:colOff>
      <xdr:row>1</xdr:row>
      <xdr:rowOff>42334</xdr:rowOff>
    </xdr:from>
    <xdr:to>
      <xdr:col>38</xdr:col>
      <xdr:colOff>361950</xdr:colOff>
      <xdr:row>58</xdr:row>
      <xdr:rowOff>99927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5EFDD56-2D3B-BD9A-4722-2F69283374CC}"/>
            </a:ext>
          </a:extLst>
        </xdr:cNvPr>
        <xdr:cNvSpPr/>
      </xdr:nvSpPr>
      <xdr:spPr>
        <a:xfrm>
          <a:off x="21534967" y="42334"/>
          <a:ext cx="11148483" cy="13413760"/>
        </a:xfrm>
        <a:custGeom>
          <a:avLst/>
          <a:gdLst>
            <a:gd name="connsiteX0" fmla="*/ 0 w 11049000"/>
            <a:gd name="connsiteY0" fmla="*/ 1841537 h 13430250"/>
            <a:gd name="connsiteX1" fmla="*/ 1841537 w 11049000"/>
            <a:gd name="connsiteY1" fmla="*/ 0 h 13430250"/>
            <a:gd name="connsiteX2" fmla="*/ 9207463 w 11049000"/>
            <a:gd name="connsiteY2" fmla="*/ 0 h 13430250"/>
            <a:gd name="connsiteX3" fmla="*/ 11049000 w 11049000"/>
            <a:gd name="connsiteY3" fmla="*/ 1841537 h 13430250"/>
            <a:gd name="connsiteX4" fmla="*/ 11049000 w 11049000"/>
            <a:gd name="connsiteY4" fmla="*/ 11588713 h 13430250"/>
            <a:gd name="connsiteX5" fmla="*/ 9207463 w 11049000"/>
            <a:gd name="connsiteY5" fmla="*/ 13430250 h 13430250"/>
            <a:gd name="connsiteX6" fmla="*/ 1841537 w 11049000"/>
            <a:gd name="connsiteY6" fmla="*/ 13430250 h 13430250"/>
            <a:gd name="connsiteX7" fmla="*/ 0 w 11049000"/>
            <a:gd name="connsiteY7" fmla="*/ 11588713 h 13430250"/>
            <a:gd name="connsiteX8" fmla="*/ 0 w 11049000"/>
            <a:gd name="connsiteY8" fmla="*/ 1841537 h 13430250"/>
            <a:gd name="connsiteX0" fmla="*/ 0 w 11144250"/>
            <a:gd name="connsiteY0" fmla="*/ 1117637 h 13430250"/>
            <a:gd name="connsiteX1" fmla="*/ 1936787 w 11144250"/>
            <a:gd name="connsiteY1" fmla="*/ 0 h 13430250"/>
            <a:gd name="connsiteX2" fmla="*/ 9302713 w 11144250"/>
            <a:gd name="connsiteY2" fmla="*/ 0 h 13430250"/>
            <a:gd name="connsiteX3" fmla="*/ 11144250 w 11144250"/>
            <a:gd name="connsiteY3" fmla="*/ 1841537 h 13430250"/>
            <a:gd name="connsiteX4" fmla="*/ 11144250 w 11144250"/>
            <a:gd name="connsiteY4" fmla="*/ 11588713 h 13430250"/>
            <a:gd name="connsiteX5" fmla="*/ 9302713 w 11144250"/>
            <a:gd name="connsiteY5" fmla="*/ 13430250 h 13430250"/>
            <a:gd name="connsiteX6" fmla="*/ 1936787 w 11144250"/>
            <a:gd name="connsiteY6" fmla="*/ 13430250 h 13430250"/>
            <a:gd name="connsiteX7" fmla="*/ 95250 w 11144250"/>
            <a:gd name="connsiteY7" fmla="*/ 11588713 h 13430250"/>
            <a:gd name="connsiteX8" fmla="*/ 0 w 11144250"/>
            <a:gd name="connsiteY8" fmla="*/ 1117637 h 13430250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95250 w 11182350"/>
            <a:gd name="connsiteY7" fmla="*/ 1158915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21333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213330 h 13430693"/>
            <a:gd name="connsiteX0" fmla="*/ 0 w 11163300"/>
            <a:gd name="connsiteY0" fmla="*/ 1156180 h 13430693"/>
            <a:gd name="connsiteX1" fmla="*/ 1917737 w 11163300"/>
            <a:gd name="connsiteY1" fmla="*/ 443 h 13430693"/>
            <a:gd name="connsiteX2" fmla="*/ 9283663 w 11163300"/>
            <a:gd name="connsiteY2" fmla="*/ 443 h 13430693"/>
            <a:gd name="connsiteX3" fmla="*/ 11163300 w 11163300"/>
            <a:gd name="connsiteY3" fmla="*/ 965680 h 13430693"/>
            <a:gd name="connsiteX4" fmla="*/ 11125200 w 11163300"/>
            <a:gd name="connsiteY4" fmla="*/ 12313056 h 13430693"/>
            <a:gd name="connsiteX5" fmla="*/ 9283663 w 11163300"/>
            <a:gd name="connsiteY5" fmla="*/ 13430693 h 13430693"/>
            <a:gd name="connsiteX6" fmla="*/ 1917737 w 11163300"/>
            <a:gd name="connsiteY6" fmla="*/ 13430693 h 13430693"/>
            <a:gd name="connsiteX7" fmla="*/ 95250 w 11163300"/>
            <a:gd name="connsiteY7" fmla="*/ 12294006 h 13430693"/>
            <a:gd name="connsiteX8" fmla="*/ 0 w 11163300"/>
            <a:gd name="connsiteY8" fmla="*/ 1156180 h 134306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1163300" h="13430693">
              <a:moveTo>
                <a:pt x="0" y="1156180"/>
              </a:moveTo>
              <a:cubicBezTo>
                <a:pt x="0" y="139127"/>
                <a:pt x="900684" y="443"/>
                <a:pt x="1917737" y="443"/>
              </a:cubicBezTo>
              <a:lnTo>
                <a:pt x="9283663" y="443"/>
              </a:lnTo>
              <a:cubicBezTo>
                <a:pt x="10300716" y="443"/>
                <a:pt x="11163300" y="-51373"/>
                <a:pt x="11163300" y="965680"/>
              </a:cubicBezTo>
              <a:lnTo>
                <a:pt x="11125200" y="12313056"/>
              </a:lnTo>
              <a:cubicBezTo>
                <a:pt x="11125200" y="13330109"/>
                <a:pt x="10300716" y="13430693"/>
                <a:pt x="9283663" y="13430693"/>
              </a:cubicBezTo>
              <a:lnTo>
                <a:pt x="1917737" y="13430693"/>
              </a:lnTo>
              <a:cubicBezTo>
                <a:pt x="900684" y="13430693"/>
                <a:pt x="95250" y="13311059"/>
                <a:pt x="95250" y="12294006"/>
              </a:cubicBezTo>
              <a:cubicBezTo>
                <a:pt x="95250" y="9044947"/>
                <a:pt x="0" y="4405239"/>
                <a:pt x="0" y="1156180"/>
              </a:cubicBezTo>
              <a:close/>
            </a:path>
          </a:pathLst>
        </a:custGeom>
        <a:solidFill>
          <a:srgbClr val="FFFFCC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12</xdr:col>
      <xdr:colOff>1100666</xdr:colOff>
      <xdr:row>41</xdr:row>
      <xdr:rowOff>91017</xdr:rowOff>
    </xdr:from>
    <xdr:to>
      <xdr:col>20</xdr:col>
      <xdr:colOff>569382</xdr:colOff>
      <xdr:row>54</xdr:row>
      <xdr:rowOff>91017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7299276-0FA0-0221-3721-37A298859636}"/>
            </a:ext>
          </a:extLst>
        </xdr:cNvPr>
        <xdr:cNvSpPr/>
      </xdr:nvSpPr>
      <xdr:spPr>
        <a:xfrm>
          <a:off x="14477999" y="10102850"/>
          <a:ext cx="6115050" cy="2582334"/>
        </a:xfrm>
        <a:prstGeom prst="roundRect">
          <a:avLst/>
        </a:prstGeom>
        <a:solidFill>
          <a:srgbClr val="9AF4CB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45</xdr:row>
      <xdr:rowOff>123826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38B7AB7-249B-4AE9-B26E-9EFDCDC823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0</xdr:colOff>
      <xdr:row>45</xdr:row>
      <xdr:rowOff>123826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D01E456-537D-4D69-AE15-827DAF60F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87957</xdr:colOff>
      <xdr:row>1</xdr:row>
      <xdr:rowOff>169712</xdr:rowOff>
    </xdr:from>
    <xdr:to>
      <xdr:col>1</xdr:col>
      <xdr:colOff>990266</xdr:colOff>
      <xdr:row>5</xdr:row>
      <xdr:rowOff>37865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11C588AB-F91F-49F3-9992-DFF4CC9DF467}"/>
            </a:ext>
          </a:extLst>
        </xdr:cNvPr>
        <xdr:cNvGrpSpPr/>
      </xdr:nvGrpSpPr>
      <xdr:grpSpPr>
        <a:xfrm rot="19817625">
          <a:off x="748357" y="372912"/>
          <a:ext cx="902309" cy="782553"/>
          <a:chOff x="557891" y="142119"/>
          <a:chExt cx="426838" cy="437679"/>
        </a:xfrm>
      </xdr:grpSpPr>
      <xdr:sp macro="" textlink="">
        <xdr:nvSpPr>
          <xdr:cNvPr id="10" name="Oval 9">
            <a:extLst>
              <a:ext uri="{FF2B5EF4-FFF2-40B4-BE49-F238E27FC236}">
                <a16:creationId xmlns:a16="http://schemas.microsoft.com/office/drawing/2014/main" id="{49EF9513-7716-E66D-F15A-E037C0DA4F64}"/>
              </a:ext>
            </a:extLst>
          </xdr:cNvPr>
          <xdr:cNvSpPr/>
        </xdr:nvSpPr>
        <xdr:spPr>
          <a:xfrm>
            <a:off x="557891" y="142119"/>
            <a:ext cx="426838" cy="437679"/>
          </a:xfrm>
          <a:prstGeom prst="ellipse">
            <a:avLst/>
          </a:prstGeom>
          <a:solidFill>
            <a:schemeClr val="bg1"/>
          </a:solidFill>
          <a:ln w="285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AU"/>
          </a:p>
        </xdr:txBody>
      </xdr:sp>
      <xdr:pic>
        <xdr:nvPicPr>
          <xdr:cNvPr id="11" name="Picture 10">
            <a:extLst>
              <a:ext uri="{FF2B5EF4-FFF2-40B4-BE49-F238E27FC236}">
                <a16:creationId xmlns:a16="http://schemas.microsoft.com/office/drawing/2014/main" id="{2903D2E7-27EA-1ECD-7DD0-C875A0D4D7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7258" y="239143"/>
            <a:ext cx="264840" cy="26484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64943</xdr:colOff>
      <xdr:row>6</xdr:row>
      <xdr:rowOff>292387</xdr:rowOff>
    </xdr:from>
    <xdr:to>
      <xdr:col>10</xdr:col>
      <xdr:colOff>990600</xdr:colOff>
      <xdr:row>8</xdr:row>
      <xdr:rowOff>323850</xdr:rowOff>
    </xdr:to>
    <xdr:sp macro="[0]!Sheet14.Reset_Cells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56132CAF-CF90-0EC3-F97A-70C380609170}"/>
            </a:ext>
          </a:extLst>
        </xdr:cNvPr>
        <xdr:cNvSpPr/>
      </xdr:nvSpPr>
      <xdr:spPr>
        <a:xfrm>
          <a:off x="9170843" y="1492537"/>
          <a:ext cx="2773507" cy="104111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2800" b="1"/>
            <a:t>Reset to Default</a:t>
          </a:r>
        </a:p>
      </xdr:txBody>
    </xdr:sp>
    <xdr:clientData/>
  </xdr:twoCellAnchor>
  <xdr:twoCellAnchor>
    <xdr:from>
      <xdr:col>21</xdr:col>
      <xdr:colOff>810140</xdr:colOff>
      <xdr:row>1</xdr:row>
      <xdr:rowOff>246162</xdr:rowOff>
    </xdr:from>
    <xdr:to>
      <xdr:col>38</xdr:col>
      <xdr:colOff>298275</xdr:colOff>
      <xdr:row>56</xdr:row>
      <xdr:rowOff>163047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78CD8C0A-6E06-DDB8-4FB0-EFF401BB3BC8}"/>
            </a:ext>
          </a:extLst>
        </xdr:cNvPr>
        <xdr:cNvGrpSpPr/>
      </xdr:nvGrpSpPr>
      <xdr:grpSpPr>
        <a:xfrm>
          <a:off x="23847940" y="449362"/>
          <a:ext cx="11807135" cy="12743885"/>
          <a:chOff x="21047403" y="393333"/>
          <a:chExt cx="10799353" cy="13138145"/>
        </a:xfrm>
      </xdr:grpSpPr>
      <xdr:graphicFrame macro="">
        <xdr:nvGraphicFramePr>
          <xdr:cNvPr id="17" name="Chart 16">
            <a:extLst>
              <a:ext uri="{FF2B5EF4-FFF2-40B4-BE49-F238E27FC236}">
                <a16:creationId xmlns:a16="http://schemas.microsoft.com/office/drawing/2014/main" id="{46F55798-0112-475B-9459-C5F381468AA9}"/>
              </a:ext>
            </a:extLst>
          </xdr:cNvPr>
          <xdr:cNvGraphicFramePr>
            <a:graphicFrameLocks/>
          </xdr:cNvGraphicFramePr>
        </xdr:nvGraphicFramePr>
        <xdr:xfrm>
          <a:off x="21108201" y="393333"/>
          <a:ext cx="4672895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18" name="Chart 17">
            <a:extLst>
              <a:ext uri="{FF2B5EF4-FFF2-40B4-BE49-F238E27FC236}">
                <a16:creationId xmlns:a16="http://schemas.microsoft.com/office/drawing/2014/main" id="{7B4364B6-FEEB-4DD5-A784-2B994CDCE989}"/>
              </a:ext>
            </a:extLst>
          </xdr:cNvPr>
          <xdr:cNvGraphicFramePr>
            <a:graphicFrameLocks/>
          </xdr:cNvGraphicFramePr>
        </xdr:nvGraphicFramePr>
        <xdr:xfrm>
          <a:off x="27123442" y="393334"/>
          <a:ext cx="4723314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9" name="Chart 18">
            <a:extLst>
              <a:ext uri="{FF2B5EF4-FFF2-40B4-BE49-F238E27FC236}">
                <a16:creationId xmlns:a16="http://schemas.microsoft.com/office/drawing/2014/main" id="{0FC4C71F-1E08-4A4D-BB1E-16BEDA246E49}"/>
              </a:ext>
            </a:extLst>
          </xdr:cNvPr>
          <xdr:cNvGraphicFramePr>
            <a:graphicFrameLocks/>
          </xdr:cNvGraphicFramePr>
        </xdr:nvGraphicFramePr>
        <xdr:xfrm>
          <a:off x="21108201" y="4972610"/>
          <a:ext cx="4665695" cy="455285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20" name="Chart 19">
            <a:extLst>
              <a:ext uri="{FF2B5EF4-FFF2-40B4-BE49-F238E27FC236}">
                <a16:creationId xmlns:a16="http://schemas.microsoft.com/office/drawing/2014/main" id="{3A60E1E3-054C-4609-93B8-61220A622EAD}"/>
              </a:ext>
            </a:extLst>
          </xdr:cNvPr>
          <xdr:cNvGraphicFramePr>
            <a:graphicFrameLocks/>
          </xdr:cNvGraphicFramePr>
        </xdr:nvGraphicFramePr>
        <xdr:xfrm>
          <a:off x="27048728" y="4901071"/>
          <a:ext cx="4716964" cy="454650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21" name="Chart 20">
            <a:extLst>
              <a:ext uri="{FF2B5EF4-FFF2-40B4-BE49-F238E27FC236}">
                <a16:creationId xmlns:a16="http://schemas.microsoft.com/office/drawing/2014/main" id="{9812BAE6-5311-4FAB-B560-E9FBBACE1F98}"/>
              </a:ext>
            </a:extLst>
          </xdr:cNvPr>
          <xdr:cNvGraphicFramePr>
            <a:graphicFrameLocks/>
          </xdr:cNvGraphicFramePr>
        </xdr:nvGraphicFramePr>
        <xdr:xfrm>
          <a:off x="21047403" y="9120480"/>
          <a:ext cx="4668870" cy="441099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graphicFrame macro="">
        <xdr:nvGraphicFramePr>
          <xdr:cNvPr id="22" name="Chart 21">
            <a:extLst>
              <a:ext uri="{FF2B5EF4-FFF2-40B4-BE49-F238E27FC236}">
                <a16:creationId xmlns:a16="http://schemas.microsoft.com/office/drawing/2014/main" id="{0AB63630-70F5-4BEB-9E06-A02B52928F93}"/>
              </a:ext>
            </a:extLst>
          </xdr:cNvPr>
          <xdr:cNvGraphicFramePr>
            <a:graphicFrameLocks/>
          </xdr:cNvGraphicFramePr>
        </xdr:nvGraphicFramePr>
        <xdr:xfrm>
          <a:off x="27005021" y="9089471"/>
          <a:ext cx="4723314" cy="440464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</xdr:grpSp>
    <xdr:clientData/>
  </xdr:twoCellAnchor>
  <xdr:twoCellAnchor>
    <xdr:from>
      <xdr:col>0</xdr:col>
      <xdr:colOff>596678</xdr:colOff>
      <xdr:row>19</xdr:row>
      <xdr:rowOff>677</xdr:rowOff>
    </xdr:from>
    <xdr:to>
      <xdr:col>11</xdr:col>
      <xdr:colOff>761974</xdr:colOff>
      <xdr:row>59</xdr:row>
      <xdr:rowOff>85257</xdr:rowOff>
    </xdr:to>
    <xdr:grpSp>
      <xdr:nvGrpSpPr>
        <xdr:cNvPr id="28" name="Group 27">
          <a:extLst>
            <a:ext uri="{FF2B5EF4-FFF2-40B4-BE49-F238E27FC236}">
              <a16:creationId xmlns:a16="http://schemas.microsoft.com/office/drawing/2014/main" id="{6AB33D33-7573-E9CC-FD2D-64B679D5C22C}"/>
            </a:ext>
          </a:extLst>
        </xdr:cNvPr>
        <xdr:cNvGrpSpPr/>
      </xdr:nvGrpSpPr>
      <xdr:grpSpPr>
        <a:xfrm>
          <a:off x="596678" y="6020477"/>
          <a:ext cx="13525696" cy="7653780"/>
          <a:chOff x="237735" y="5239051"/>
          <a:chExt cx="10623468" cy="5458923"/>
        </a:xfrm>
      </xdr:grpSpPr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C854FFCB-355B-2055-AE3E-DD7339518DAB}"/>
              </a:ext>
            </a:extLst>
          </xdr:cNvPr>
          <xdr:cNvSpPr/>
        </xdr:nvSpPr>
        <xdr:spPr>
          <a:xfrm>
            <a:off x="237735" y="5295850"/>
            <a:ext cx="10623468" cy="5366045"/>
          </a:xfrm>
          <a:prstGeom prst="rect">
            <a:avLst/>
          </a:prstGeom>
          <a:solidFill>
            <a:schemeClr val="accent1">
              <a:lumMod val="20000"/>
              <a:lumOff val="80000"/>
              <a:alpha val="23922"/>
            </a:schemeClr>
          </a:solidFill>
          <a:ln w="25400"/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8CFD2F91-1389-4250-AF22-BA319F0B9BFF}"/>
              </a:ext>
            </a:extLst>
          </xdr:cNvPr>
          <xdr:cNvGraphicFramePr>
            <a:graphicFrameLocks/>
          </xdr:cNvGraphicFramePr>
        </xdr:nvGraphicFramePr>
        <xdr:xfrm>
          <a:off x="328620" y="6806303"/>
          <a:ext cx="5309567" cy="364931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6" name="Chart 15">
            <a:extLst>
              <a:ext uri="{FF2B5EF4-FFF2-40B4-BE49-F238E27FC236}">
                <a16:creationId xmlns:a16="http://schemas.microsoft.com/office/drawing/2014/main" id="{5721BF6A-DFFE-4DBE-A214-8709BCA15CF4}"/>
              </a:ext>
            </a:extLst>
          </xdr:cNvPr>
          <xdr:cNvGraphicFramePr>
            <a:graphicFrameLocks/>
          </xdr:cNvGraphicFramePr>
        </xdr:nvGraphicFramePr>
        <xdr:xfrm>
          <a:off x="4101983" y="5239051"/>
          <a:ext cx="6735016" cy="545892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">
        <xdr:nvSpPr>
          <xdr:cNvPr id="23" name="TextBox 22">
            <a:extLst>
              <a:ext uri="{FF2B5EF4-FFF2-40B4-BE49-F238E27FC236}">
                <a16:creationId xmlns:a16="http://schemas.microsoft.com/office/drawing/2014/main" id="{D8E55B0F-51F2-1AA3-17A4-1141235DCF21}"/>
              </a:ext>
            </a:extLst>
          </xdr:cNvPr>
          <xdr:cNvSpPr txBox="1"/>
        </xdr:nvSpPr>
        <xdr:spPr>
          <a:xfrm>
            <a:off x="411389" y="5400466"/>
            <a:ext cx="4954072" cy="107653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AU" sz="5400"/>
              <a:t>Variable Cost</a:t>
            </a:r>
          </a:p>
        </xdr:txBody>
      </xdr:sp>
    </xdr:grpSp>
    <xdr:clientData/>
  </xdr:twoCellAnchor>
  <xdr:twoCellAnchor>
    <xdr:from>
      <xdr:col>11</xdr:col>
      <xdr:colOff>1043970</xdr:colOff>
      <xdr:row>6</xdr:row>
      <xdr:rowOff>29481</xdr:rowOff>
    </xdr:from>
    <xdr:to>
      <xdr:col>21</xdr:col>
      <xdr:colOff>260995</xdr:colOff>
      <xdr:row>33</xdr:row>
      <xdr:rowOff>88142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9D44D94-7120-4ED0-BAAF-3A0D3A433E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</xdr:col>
      <xdr:colOff>203200</xdr:colOff>
      <xdr:row>64</xdr:row>
      <xdr:rowOff>139700</xdr:rowOff>
    </xdr:from>
    <xdr:to>
      <xdr:col>3</xdr:col>
      <xdr:colOff>304800</xdr:colOff>
      <xdr:row>74</xdr:row>
      <xdr:rowOff>50800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75C15AD-0CF5-904A-8427-5F33A1FDB7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9666" t="38333" b="10666"/>
        <a:stretch/>
      </xdr:blipFill>
      <xdr:spPr>
        <a:xfrm>
          <a:off x="863600" y="14541500"/>
          <a:ext cx="4546600" cy="1943100"/>
        </a:xfrm>
        <a:prstGeom prst="rect">
          <a:avLst/>
        </a:prstGeom>
      </xdr:spPr>
    </xdr:pic>
    <xdr:clientData/>
  </xdr:twoCellAnchor>
  <xdr:twoCellAnchor editAs="oneCell">
    <xdr:from>
      <xdr:col>3</xdr:col>
      <xdr:colOff>558799</xdr:colOff>
      <xdr:row>64</xdr:row>
      <xdr:rowOff>76200</xdr:rowOff>
    </xdr:from>
    <xdr:to>
      <xdr:col>8</xdr:col>
      <xdr:colOff>27516</xdr:colOff>
      <xdr:row>74</xdr:row>
      <xdr:rowOff>50800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9409A85-1509-544D-A819-41C2CEB88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664199" y="14478000"/>
          <a:ext cx="5183717" cy="2006600"/>
        </a:xfrm>
        <a:prstGeom prst="rect">
          <a:avLst/>
        </a:prstGeom>
      </xdr:spPr>
    </xdr:pic>
    <xdr:clientData/>
  </xdr:twoCellAnchor>
  <xdr:twoCellAnchor editAs="oneCell">
    <xdr:from>
      <xdr:col>8</xdr:col>
      <xdr:colOff>253999</xdr:colOff>
      <xdr:row>64</xdr:row>
      <xdr:rowOff>76200</xdr:rowOff>
    </xdr:from>
    <xdr:to>
      <xdr:col>14</xdr:col>
      <xdr:colOff>976</xdr:colOff>
      <xdr:row>74</xdr:row>
      <xdr:rowOff>63500</xdr:rowOff>
    </xdr:to>
    <xdr:pic>
      <xdr:nvPicPr>
        <xdr:cNvPr id="13" name="Picture 12" descr="A green and white logo&#10;&#10;Description automatically generated">
          <a:extLst>
            <a:ext uri="{FF2B5EF4-FFF2-40B4-BE49-F238E27FC236}">
              <a16:creationId xmlns:a16="http://schemas.microsoft.com/office/drawing/2014/main" id="{67289E99-6CB6-F043-8B8F-E1AF4ED72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074399" y="14478000"/>
          <a:ext cx="5436577" cy="2019300"/>
        </a:xfrm>
        <a:prstGeom prst="rect">
          <a:avLst/>
        </a:prstGeom>
      </xdr:spPr>
    </xdr:pic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0.09629</cdr:x>
      <cdr:y>0.03648</cdr:y>
    </cdr:from>
    <cdr:to>
      <cdr:x>0.33039</cdr:x>
      <cdr:y>0.1073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E7EE669-4530-F815-D484-097DC19BAD05}"/>
            </a:ext>
          </a:extLst>
        </cdr:cNvPr>
        <cdr:cNvSpPr txBox="1"/>
      </cdr:nvSpPr>
      <cdr:spPr>
        <a:xfrm xmlns:a="http://schemas.openxmlformats.org/drawingml/2006/main">
          <a:off x="771071" y="257023"/>
          <a:ext cx="1874762" cy="4989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AU" sz="2800"/>
            <a:t>Alternative</a:t>
          </a:r>
          <a:endParaRPr lang="en-AU" sz="1100"/>
        </a:p>
      </cdr:txBody>
    </cdr:sp>
  </cdr:relSizeAnchor>
  <cdr:relSizeAnchor xmlns:cdr="http://schemas.openxmlformats.org/drawingml/2006/chartDrawing">
    <cdr:from>
      <cdr:x>0.45881</cdr:x>
      <cdr:y>0.45602</cdr:y>
    </cdr:from>
    <cdr:to>
      <cdr:x>0.64195</cdr:x>
      <cdr:y>0.53817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1D8DF000-6E85-2475-7007-96B8CAFE97F0}"/>
            </a:ext>
          </a:extLst>
        </cdr:cNvPr>
        <cdr:cNvSpPr txBox="1"/>
      </cdr:nvSpPr>
      <cdr:spPr>
        <a:xfrm xmlns:a="http://schemas.openxmlformats.org/drawingml/2006/main">
          <a:off x="4080890" y="3408960"/>
          <a:ext cx="1628925" cy="6141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2800"/>
            <a:t>Baseline</a:t>
          </a:r>
          <a:endParaRPr lang="en-AU" sz="11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495300</xdr:colOff>
      <xdr:row>0</xdr:row>
      <xdr:rowOff>42334</xdr:rowOff>
    </xdr:from>
    <xdr:to>
      <xdr:col>38</xdr:col>
      <xdr:colOff>361950</xdr:colOff>
      <xdr:row>57</xdr:row>
      <xdr:rowOff>99927</xdr:rowOff>
    </xdr:to>
    <xdr:sp macro="" textlink="">
      <xdr:nvSpPr>
        <xdr:cNvPr id="22" name="Rectangle: Rounded Corners 2">
          <a:extLst>
            <a:ext uri="{FF2B5EF4-FFF2-40B4-BE49-F238E27FC236}">
              <a16:creationId xmlns:a16="http://schemas.microsoft.com/office/drawing/2014/main" id="{3F649487-6B7D-4EA1-AEE6-3113CF25F002}"/>
            </a:ext>
          </a:extLst>
        </xdr:cNvPr>
        <xdr:cNvSpPr/>
      </xdr:nvSpPr>
      <xdr:spPr>
        <a:xfrm>
          <a:off x="21475700" y="42334"/>
          <a:ext cx="11112500" cy="13049693"/>
        </a:xfrm>
        <a:custGeom>
          <a:avLst/>
          <a:gdLst>
            <a:gd name="connsiteX0" fmla="*/ 0 w 11049000"/>
            <a:gd name="connsiteY0" fmla="*/ 1841537 h 13430250"/>
            <a:gd name="connsiteX1" fmla="*/ 1841537 w 11049000"/>
            <a:gd name="connsiteY1" fmla="*/ 0 h 13430250"/>
            <a:gd name="connsiteX2" fmla="*/ 9207463 w 11049000"/>
            <a:gd name="connsiteY2" fmla="*/ 0 h 13430250"/>
            <a:gd name="connsiteX3" fmla="*/ 11049000 w 11049000"/>
            <a:gd name="connsiteY3" fmla="*/ 1841537 h 13430250"/>
            <a:gd name="connsiteX4" fmla="*/ 11049000 w 11049000"/>
            <a:gd name="connsiteY4" fmla="*/ 11588713 h 13430250"/>
            <a:gd name="connsiteX5" fmla="*/ 9207463 w 11049000"/>
            <a:gd name="connsiteY5" fmla="*/ 13430250 h 13430250"/>
            <a:gd name="connsiteX6" fmla="*/ 1841537 w 11049000"/>
            <a:gd name="connsiteY6" fmla="*/ 13430250 h 13430250"/>
            <a:gd name="connsiteX7" fmla="*/ 0 w 11049000"/>
            <a:gd name="connsiteY7" fmla="*/ 11588713 h 13430250"/>
            <a:gd name="connsiteX8" fmla="*/ 0 w 11049000"/>
            <a:gd name="connsiteY8" fmla="*/ 1841537 h 13430250"/>
            <a:gd name="connsiteX0" fmla="*/ 0 w 11144250"/>
            <a:gd name="connsiteY0" fmla="*/ 1117637 h 13430250"/>
            <a:gd name="connsiteX1" fmla="*/ 1936787 w 11144250"/>
            <a:gd name="connsiteY1" fmla="*/ 0 h 13430250"/>
            <a:gd name="connsiteX2" fmla="*/ 9302713 w 11144250"/>
            <a:gd name="connsiteY2" fmla="*/ 0 h 13430250"/>
            <a:gd name="connsiteX3" fmla="*/ 11144250 w 11144250"/>
            <a:gd name="connsiteY3" fmla="*/ 1841537 h 13430250"/>
            <a:gd name="connsiteX4" fmla="*/ 11144250 w 11144250"/>
            <a:gd name="connsiteY4" fmla="*/ 11588713 h 13430250"/>
            <a:gd name="connsiteX5" fmla="*/ 9302713 w 11144250"/>
            <a:gd name="connsiteY5" fmla="*/ 13430250 h 13430250"/>
            <a:gd name="connsiteX6" fmla="*/ 1936787 w 11144250"/>
            <a:gd name="connsiteY6" fmla="*/ 13430250 h 13430250"/>
            <a:gd name="connsiteX7" fmla="*/ 95250 w 11144250"/>
            <a:gd name="connsiteY7" fmla="*/ 11588713 h 13430250"/>
            <a:gd name="connsiteX8" fmla="*/ 0 w 11144250"/>
            <a:gd name="connsiteY8" fmla="*/ 1117637 h 13430250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95250 w 11182350"/>
            <a:gd name="connsiteY7" fmla="*/ 1158915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21333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213330 h 13430693"/>
            <a:gd name="connsiteX0" fmla="*/ 0 w 11163300"/>
            <a:gd name="connsiteY0" fmla="*/ 1156180 h 13430693"/>
            <a:gd name="connsiteX1" fmla="*/ 1917737 w 11163300"/>
            <a:gd name="connsiteY1" fmla="*/ 443 h 13430693"/>
            <a:gd name="connsiteX2" fmla="*/ 9283663 w 11163300"/>
            <a:gd name="connsiteY2" fmla="*/ 443 h 13430693"/>
            <a:gd name="connsiteX3" fmla="*/ 11163300 w 11163300"/>
            <a:gd name="connsiteY3" fmla="*/ 965680 h 13430693"/>
            <a:gd name="connsiteX4" fmla="*/ 11125200 w 11163300"/>
            <a:gd name="connsiteY4" fmla="*/ 12313056 h 13430693"/>
            <a:gd name="connsiteX5" fmla="*/ 9283663 w 11163300"/>
            <a:gd name="connsiteY5" fmla="*/ 13430693 h 13430693"/>
            <a:gd name="connsiteX6" fmla="*/ 1917737 w 11163300"/>
            <a:gd name="connsiteY6" fmla="*/ 13430693 h 13430693"/>
            <a:gd name="connsiteX7" fmla="*/ 95250 w 11163300"/>
            <a:gd name="connsiteY7" fmla="*/ 12294006 h 13430693"/>
            <a:gd name="connsiteX8" fmla="*/ 0 w 11163300"/>
            <a:gd name="connsiteY8" fmla="*/ 1156180 h 134306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1163300" h="13430693">
              <a:moveTo>
                <a:pt x="0" y="1156180"/>
              </a:moveTo>
              <a:cubicBezTo>
                <a:pt x="0" y="139127"/>
                <a:pt x="900684" y="443"/>
                <a:pt x="1917737" y="443"/>
              </a:cubicBezTo>
              <a:lnTo>
                <a:pt x="9283663" y="443"/>
              </a:lnTo>
              <a:cubicBezTo>
                <a:pt x="10300716" y="443"/>
                <a:pt x="11163300" y="-51373"/>
                <a:pt x="11163300" y="965680"/>
              </a:cubicBezTo>
              <a:lnTo>
                <a:pt x="11125200" y="12313056"/>
              </a:lnTo>
              <a:cubicBezTo>
                <a:pt x="11125200" y="13330109"/>
                <a:pt x="10300716" y="13430693"/>
                <a:pt x="9283663" y="13430693"/>
              </a:cubicBezTo>
              <a:lnTo>
                <a:pt x="1917737" y="13430693"/>
              </a:lnTo>
              <a:cubicBezTo>
                <a:pt x="900684" y="13430693"/>
                <a:pt x="95250" y="13311059"/>
                <a:pt x="95250" y="12294006"/>
              </a:cubicBezTo>
              <a:cubicBezTo>
                <a:pt x="95250" y="9044947"/>
                <a:pt x="0" y="4405239"/>
                <a:pt x="0" y="1156180"/>
              </a:cubicBezTo>
              <a:close/>
            </a:path>
          </a:pathLst>
        </a:custGeom>
        <a:solidFill>
          <a:srgbClr val="FFFFCC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44</xdr:row>
      <xdr:rowOff>123826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16BBFF0-C9CD-44AA-A067-4ABEF7187D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44</xdr:row>
      <xdr:rowOff>123826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64EAC66-8B64-416E-9021-C2A08ABDF5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64943</xdr:colOff>
      <xdr:row>5</xdr:row>
      <xdr:rowOff>292387</xdr:rowOff>
    </xdr:from>
    <xdr:to>
      <xdr:col>10</xdr:col>
      <xdr:colOff>990600</xdr:colOff>
      <xdr:row>7</xdr:row>
      <xdr:rowOff>323850</xdr:rowOff>
    </xdr:to>
    <xdr:sp macro="[0]!Sheet15.Reset_Cells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3073053F-2798-4972-B084-0049EED70E2D}"/>
            </a:ext>
          </a:extLst>
        </xdr:cNvPr>
        <xdr:cNvSpPr/>
      </xdr:nvSpPr>
      <xdr:spPr>
        <a:xfrm>
          <a:off x="9342293" y="1454437"/>
          <a:ext cx="2760807" cy="10855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2800" b="1"/>
            <a:t>Reset to Default</a:t>
          </a:r>
        </a:p>
      </xdr:txBody>
    </xdr:sp>
    <xdr:clientData/>
  </xdr:twoCellAnchor>
  <xdr:twoCellAnchor>
    <xdr:from>
      <xdr:col>21</xdr:col>
      <xdr:colOff>810140</xdr:colOff>
      <xdr:row>0</xdr:row>
      <xdr:rowOff>246162</xdr:rowOff>
    </xdr:from>
    <xdr:to>
      <xdr:col>38</xdr:col>
      <xdr:colOff>298275</xdr:colOff>
      <xdr:row>55</xdr:row>
      <xdr:rowOff>163047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967CA9C9-E253-4115-BFDE-A9A23309AB2B}"/>
            </a:ext>
          </a:extLst>
        </xdr:cNvPr>
        <xdr:cNvGrpSpPr/>
      </xdr:nvGrpSpPr>
      <xdr:grpSpPr>
        <a:xfrm>
          <a:off x="23847940" y="246162"/>
          <a:ext cx="11807135" cy="12743885"/>
          <a:chOff x="21047403" y="393333"/>
          <a:chExt cx="10799353" cy="13138145"/>
        </a:xfrm>
      </xdr:grpSpPr>
      <xdr:graphicFrame macro="">
        <xdr:nvGraphicFramePr>
          <xdr:cNvPr id="10" name="Chart 9">
            <a:extLst>
              <a:ext uri="{FF2B5EF4-FFF2-40B4-BE49-F238E27FC236}">
                <a16:creationId xmlns:a16="http://schemas.microsoft.com/office/drawing/2014/main" id="{668B29DB-565B-E12F-FF2D-E2551A267B6B}"/>
              </a:ext>
            </a:extLst>
          </xdr:cNvPr>
          <xdr:cNvGraphicFramePr>
            <a:graphicFrameLocks/>
          </xdr:cNvGraphicFramePr>
        </xdr:nvGraphicFramePr>
        <xdr:xfrm>
          <a:off x="21108201" y="393333"/>
          <a:ext cx="4672895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1" name="Chart 10">
            <a:extLst>
              <a:ext uri="{FF2B5EF4-FFF2-40B4-BE49-F238E27FC236}">
                <a16:creationId xmlns:a16="http://schemas.microsoft.com/office/drawing/2014/main" id="{411128DD-4B96-DBA7-22E9-17768BD398BB}"/>
              </a:ext>
            </a:extLst>
          </xdr:cNvPr>
          <xdr:cNvGraphicFramePr>
            <a:graphicFrameLocks/>
          </xdr:cNvGraphicFramePr>
        </xdr:nvGraphicFramePr>
        <xdr:xfrm>
          <a:off x="27123442" y="393334"/>
          <a:ext cx="4723314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12" name="Chart 11">
            <a:extLst>
              <a:ext uri="{FF2B5EF4-FFF2-40B4-BE49-F238E27FC236}">
                <a16:creationId xmlns:a16="http://schemas.microsoft.com/office/drawing/2014/main" id="{D7296EA8-FBF9-6178-398B-FC07E5F42C00}"/>
              </a:ext>
            </a:extLst>
          </xdr:cNvPr>
          <xdr:cNvGraphicFramePr>
            <a:graphicFrameLocks/>
          </xdr:cNvGraphicFramePr>
        </xdr:nvGraphicFramePr>
        <xdr:xfrm>
          <a:off x="21108201" y="4972610"/>
          <a:ext cx="4665695" cy="455285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3" name="Chart 12">
            <a:extLst>
              <a:ext uri="{FF2B5EF4-FFF2-40B4-BE49-F238E27FC236}">
                <a16:creationId xmlns:a16="http://schemas.microsoft.com/office/drawing/2014/main" id="{8950C5D7-BF6F-AB88-49BB-365E4E8EF58F}"/>
              </a:ext>
            </a:extLst>
          </xdr:cNvPr>
          <xdr:cNvGraphicFramePr>
            <a:graphicFrameLocks/>
          </xdr:cNvGraphicFramePr>
        </xdr:nvGraphicFramePr>
        <xdr:xfrm>
          <a:off x="27048728" y="4901071"/>
          <a:ext cx="4716964" cy="454650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14" name="Chart 13">
            <a:extLst>
              <a:ext uri="{FF2B5EF4-FFF2-40B4-BE49-F238E27FC236}">
                <a16:creationId xmlns:a16="http://schemas.microsoft.com/office/drawing/2014/main" id="{07D1D044-FCF9-3524-C938-FE869A916B65}"/>
              </a:ext>
            </a:extLst>
          </xdr:cNvPr>
          <xdr:cNvGraphicFramePr>
            <a:graphicFrameLocks/>
          </xdr:cNvGraphicFramePr>
        </xdr:nvGraphicFramePr>
        <xdr:xfrm>
          <a:off x="21047403" y="9120480"/>
          <a:ext cx="4668870" cy="441099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93EF408D-79F9-AA4A-AB42-3E7BB218ABC6}"/>
              </a:ext>
            </a:extLst>
          </xdr:cNvPr>
          <xdr:cNvGraphicFramePr>
            <a:graphicFrameLocks/>
          </xdr:cNvGraphicFramePr>
        </xdr:nvGraphicFramePr>
        <xdr:xfrm>
          <a:off x="27005021" y="9089471"/>
          <a:ext cx="4723314" cy="440464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0</xdr:col>
      <xdr:colOff>596678</xdr:colOff>
      <xdr:row>18</xdr:row>
      <xdr:rowOff>677</xdr:rowOff>
    </xdr:from>
    <xdr:to>
      <xdr:col>11</xdr:col>
      <xdr:colOff>761974</xdr:colOff>
      <xdr:row>58</xdr:row>
      <xdr:rowOff>85257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E7DC27F4-6067-452F-9473-1442D8A51026}"/>
            </a:ext>
          </a:extLst>
        </xdr:cNvPr>
        <xdr:cNvGrpSpPr/>
      </xdr:nvGrpSpPr>
      <xdr:grpSpPr>
        <a:xfrm>
          <a:off x="596678" y="5817277"/>
          <a:ext cx="13525696" cy="7653780"/>
          <a:chOff x="237735" y="5239051"/>
          <a:chExt cx="10623468" cy="5458923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8CB2791D-DC73-8A0D-4D8D-11FF64A0F94F}"/>
              </a:ext>
            </a:extLst>
          </xdr:cNvPr>
          <xdr:cNvSpPr/>
        </xdr:nvSpPr>
        <xdr:spPr>
          <a:xfrm>
            <a:off x="237735" y="5295850"/>
            <a:ext cx="10623468" cy="5366045"/>
          </a:xfrm>
          <a:prstGeom prst="rect">
            <a:avLst/>
          </a:prstGeom>
          <a:solidFill>
            <a:schemeClr val="accent1">
              <a:lumMod val="20000"/>
              <a:lumOff val="80000"/>
              <a:alpha val="23922"/>
            </a:schemeClr>
          </a:solidFill>
          <a:ln w="25400"/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graphicFrame macro="">
        <xdr:nvGraphicFramePr>
          <xdr:cNvPr id="18" name="Chart 17">
            <a:extLst>
              <a:ext uri="{FF2B5EF4-FFF2-40B4-BE49-F238E27FC236}">
                <a16:creationId xmlns:a16="http://schemas.microsoft.com/office/drawing/2014/main" id="{A5AEBFF3-EA26-0CC1-4CDC-23E65DC0B692}"/>
              </a:ext>
            </a:extLst>
          </xdr:cNvPr>
          <xdr:cNvGraphicFramePr>
            <a:graphicFrameLocks/>
          </xdr:cNvGraphicFramePr>
        </xdr:nvGraphicFramePr>
        <xdr:xfrm>
          <a:off x="328620" y="6806303"/>
          <a:ext cx="5309567" cy="364931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9" name="Chart 18">
            <a:extLst>
              <a:ext uri="{FF2B5EF4-FFF2-40B4-BE49-F238E27FC236}">
                <a16:creationId xmlns:a16="http://schemas.microsoft.com/office/drawing/2014/main" id="{1930D7ED-5F7E-FE97-6F73-A22C43B21B49}"/>
              </a:ext>
            </a:extLst>
          </xdr:cNvPr>
          <xdr:cNvGraphicFramePr>
            <a:graphicFrameLocks/>
          </xdr:cNvGraphicFramePr>
        </xdr:nvGraphicFramePr>
        <xdr:xfrm>
          <a:off x="4101983" y="5239051"/>
          <a:ext cx="6735016" cy="545892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9115009B-AA14-23ED-96BB-016A14EFD795}"/>
              </a:ext>
            </a:extLst>
          </xdr:cNvPr>
          <xdr:cNvSpPr txBox="1"/>
        </xdr:nvSpPr>
        <xdr:spPr>
          <a:xfrm>
            <a:off x="411389" y="5400466"/>
            <a:ext cx="4954072" cy="107653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AU" sz="5400"/>
              <a:t>Variable Cost</a:t>
            </a:r>
          </a:p>
        </xdr:txBody>
      </xdr:sp>
    </xdr:grpSp>
    <xdr:clientData/>
  </xdr:twoCellAnchor>
  <xdr:twoCellAnchor>
    <xdr:from>
      <xdr:col>11</xdr:col>
      <xdr:colOff>1043970</xdr:colOff>
      <xdr:row>5</xdr:row>
      <xdr:rowOff>29481</xdr:rowOff>
    </xdr:from>
    <xdr:to>
      <xdr:col>21</xdr:col>
      <xdr:colOff>260995</xdr:colOff>
      <xdr:row>32</xdr:row>
      <xdr:rowOff>88142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28AD36B4-BAF4-417B-948D-6E9407D70F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952500</xdr:colOff>
      <xdr:row>41</xdr:row>
      <xdr:rowOff>91017</xdr:rowOff>
    </xdr:from>
    <xdr:to>
      <xdr:col>20</xdr:col>
      <xdr:colOff>421216</xdr:colOff>
      <xdr:row>54</xdr:row>
      <xdr:rowOff>91017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D43F081-0FA1-4D8C-B36C-D3966F1DC3F8}"/>
            </a:ext>
          </a:extLst>
        </xdr:cNvPr>
        <xdr:cNvSpPr/>
      </xdr:nvSpPr>
      <xdr:spPr>
        <a:xfrm>
          <a:off x="14329833" y="10293350"/>
          <a:ext cx="6115050" cy="2582334"/>
        </a:xfrm>
        <a:prstGeom prst="roundRect">
          <a:avLst/>
        </a:prstGeom>
        <a:solidFill>
          <a:srgbClr val="9AF4CB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</xdr:col>
      <xdr:colOff>-1</xdr:colOff>
      <xdr:row>1</xdr:row>
      <xdr:rowOff>0</xdr:rowOff>
    </xdr:from>
    <xdr:to>
      <xdr:col>1</xdr:col>
      <xdr:colOff>762000</xdr:colOff>
      <xdr:row>4</xdr:row>
      <xdr:rowOff>21166</xdr:rowOff>
    </xdr:to>
    <xdr:grpSp>
      <xdr:nvGrpSpPr>
        <xdr:cNvPr id="23" name="Group 22">
          <a:extLst>
            <a:ext uri="{FF2B5EF4-FFF2-40B4-BE49-F238E27FC236}">
              <a16:creationId xmlns:a16="http://schemas.microsoft.com/office/drawing/2014/main" id="{B05CA85B-FBD6-43A4-888E-B5ACB619C9F4}"/>
            </a:ext>
          </a:extLst>
        </xdr:cNvPr>
        <xdr:cNvGrpSpPr/>
      </xdr:nvGrpSpPr>
      <xdr:grpSpPr>
        <a:xfrm>
          <a:off x="660399" y="254000"/>
          <a:ext cx="762001" cy="681566"/>
          <a:chOff x="7734300" y="3543300"/>
          <a:chExt cx="720000" cy="724312"/>
        </a:xfrm>
      </xdr:grpSpPr>
      <xdr:sp macro="" textlink="">
        <xdr:nvSpPr>
          <xdr:cNvPr id="24" name="Oval 23">
            <a:extLst>
              <a:ext uri="{FF2B5EF4-FFF2-40B4-BE49-F238E27FC236}">
                <a16:creationId xmlns:a16="http://schemas.microsoft.com/office/drawing/2014/main" id="{8322B648-11C1-F7A1-DBAC-E895E09E65D5}"/>
              </a:ext>
            </a:extLst>
          </xdr:cNvPr>
          <xdr:cNvSpPr/>
        </xdr:nvSpPr>
        <xdr:spPr>
          <a:xfrm>
            <a:off x="7734300" y="3543300"/>
            <a:ext cx="720000" cy="724312"/>
          </a:xfrm>
          <a:prstGeom prst="ellipse">
            <a:avLst/>
          </a:prstGeom>
          <a:solidFill>
            <a:schemeClr val="bg1"/>
          </a:solidFill>
          <a:ln w="28575"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AU"/>
          </a:p>
        </xdr:txBody>
      </xdr:sp>
      <xdr:pic>
        <xdr:nvPicPr>
          <xdr:cNvPr id="25" name="Picture 24">
            <a:extLst>
              <a:ext uri="{FF2B5EF4-FFF2-40B4-BE49-F238E27FC236}">
                <a16:creationId xmlns:a16="http://schemas.microsoft.com/office/drawing/2014/main" id="{863B2356-9FC3-CBD4-AB81-1625EA8B50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>
            <a:duotone>
              <a:schemeClr val="accent5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9248" l="0" r="100000">
                        <a14:foregroundMark x1="12871" y1="87218" x2="20462" y2="87970"/>
                        <a14:foregroundMark x1="29043" y1="78571" x2="32013" y2="83835"/>
                        <a14:foregroundMark x1="43234" y1="73308" x2="48515" y2="83835"/>
                        <a14:foregroundMark x1="61716" y1="74436" x2="63036" y2="67293"/>
                        <a14:foregroundMark x1="62376" y1="55263" x2="67657" y2="52256"/>
                        <a14:foregroundMark x1="47195" y1="60902" x2="53135" y2="60902"/>
                        <a14:foregroundMark x1="32673" y1="65789" x2="42244" y2="63534"/>
                        <a14:foregroundMark x1="13201" y1="71429" x2="21452" y2="71429"/>
                        <a14:foregroundMark x1="21452" y1="51880" x2="21452" y2="46241"/>
                        <a14:foregroundMark x1="26073" y1="35338" x2="27723" y2="28195"/>
                        <a14:foregroundMark x1="33333" y1="46617" x2="40594" y2="49248"/>
                        <a14:foregroundMark x1="50825" y1="46617" x2="53135" y2="40977"/>
                        <a14:foregroundMark x1="40924" y1="34962" x2="44884" y2="25940"/>
                      </a14:backgroundRemoval>
                    </a14:imgEffect>
                  </a14:imgLayer>
                </a14:imgProps>
              </a:ext>
            </a:extLst>
          </a:blip>
          <a:stretch>
            <a:fillRect/>
          </a:stretch>
        </xdr:blipFill>
        <xdr:spPr>
          <a:xfrm>
            <a:off x="7840166" y="3657402"/>
            <a:ext cx="519494" cy="456057"/>
          </a:xfrm>
          <a:prstGeom prst="rect">
            <a:avLst/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1</xdr:col>
      <xdr:colOff>203200</xdr:colOff>
      <xdr:row>63</xdr:row>
      <xdr:rowOff>139700</xdr:rowOff>
    </xdr:from>
    <xdr:to>
      <xdr:col>3</xdr:col>
      <xdr:colOff>304800</xdr:colOff>
      <xdr:row>73</xdr:row>
      <xdr:rowOff>50800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85BDED7-DC10-2143-8F25-B8FD3AC783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29666" t="38333" b="10666"/>
        <a:stretch/>
      </xdr:blipFill>
      <xdr:spPr>
        <a:xfrm>
          <a:off x="863600" y="14414500"/>
          <a:ext cx="4546600" cy="1816100"/>
        </a:xfrm>
        <a:prstGeom prst="rect">
          <a:avLst/>
        </a:prstGeom>
      </xdr:spPr>
    </xdr:pic>
    <xdr:clientData/>
  </xdr:twoCellAnchor>
  <xdr:twoCellAnchor editAs="oneCell">
    <xdr:from>
      <xdr:col>3</xdr:col>
      <xdr:colOff>558799</xdr:colOff>
      <xdr:row>63</xdr:row>
      <xdr:rowOff>76200</xdr:rowOff>
    </xdr:from>
    <xdr:to>
      <xdr:col>8</xdr:col>
      <xdr:colOff>27516</xdr:colOff>
      <xdr:row>73</xdr:row>
      <xdr:rowOff>50800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FAE6337-6CE8-E64B-A6DA-97D423DB4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664199" y="14351000"/>
          <a:ext cx="5132917" cy="1879600"/>
        </a:xfrm>
        <a:prstGeom prst="rect">
          <a:avLst/>
        </a:prstGeom>
      </xdr:spPr>
    </xdr:pic>
    <xdr:clientData/>
  </xdr:twoCellAnchor>
  <xdr:twoCellAnchor editAs="oneCell">
    <xdr:from>
      <xdr:col>8</xdr:col>
      <xdr:colOff>253999</xdr:colOff>
      <xdr:row>63</xdr:row>
      <xdr:rowOff>76200</xdr:rowOff>
    </xdr:from>
    <xdr:to>
      <xdr:col>14</xdr:col>
      <xdr:colOff>976</xdr:colOff>
      <xdr:row>73</xdr:row>
      <xdr:rowOff>63500</xdr:rowOff>
    </xdr:to>
    <xdr:pic>
      <xdr:nvPicPr>
        <xdr:cNvPr id="7" name="Picture 6" descr="A green and white logo&#10;&#10;Description automatically generated">
          <a:extLst>
            <a:ext uri="{FF2B5EF4-FFF2-40B4-BE49-F238E27FC236}">
              <a16:creationId xmlns:a16="http://schemas.microsoft.com/office/drawing/2014/main" id="{8DA65E5F-D027-6A48-8CE0-89A3FC1E9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023599" y="14351000"/>
          <a:ext cx="5373077" cy="1892300"/>
        </a:xfrm>
        <a:prstGeom prst="rect">
          <a:avLst/>
        </a:prstGeom>
      </xdr:spPr>
    </xdr:pic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0.09629</cdr:x>
      <cdr:y>0.03648</cdr:y>
    </cdr:from>
    <cdr:to>
      <cdr:x>0.33039</cdr:x>
      <cdr:y>0.1073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E7EE669-4530-F815-D484-097DC19BAD05}"/>
            </a:ext>
          </a:extLst>
        </cdr:cNvPr>
        <cdr:cNvSpPr txBox="1"/>
      </cdr:nvSpPr>
      <cdr:spPr>
        <a:xfrm xmlns:a="http://schemas.openxmlformats.org/drawingml/2006/main">
          <a:off x="771071" y="257023"/>
          <a:ext cx="1874762" cy="4989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AU" sz="2800"/>
            <a:t>Alternative</a:t>
          </a:r>
          <a:endParaRPr lang="en-AU" sz="1100"/>
        </a:p>
      </cdr:txBody>
    </cdr:sp>
  </cdr:relSizeAnchor>
  <cdr:relSizeAnchor xmlns:cdr="http://schemas.openxmlformats.org/drawingml/2006/chartDrawing">
    <cdr:from>
      <cdr:x>0.42169</cdr:x>
      <cdr:y>0.45602</cdr:y>
    </cdr:from>
    <cdr:to>
      <cdr:x>0.60483</cdr:x>
      <cdr:y>0.53817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1D8DF000-6E85-2475-7007-96B8CAFE97F0}"/>
            </a:ext>
          </a:extLst>
        </cdr:cNvPr>
        <cdr:cNvSpPr txBox="1"/>
      </cdr:nvSpPr>
      <cdr:spPr>
        <a:xfrm xmlns:a="http://schemas.openxmlformats.org/drawingml/2006/main">
          <a:off x="3380833" y="3389070"/>
          <a:ext cx="1468217" cy="6105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2800"/>
            <a:t>Baseline</a:t>
          </a:r>
          <a:endParaRPr lang="en-AU" sz="1100"/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495300</xdr:colOff>
      <xdr:row>0</xdr:row>
      <xdr:rowOff>42334</xdr:rowOff>
    </xdr:from>
    <xdr:to>
      <xdr:col>38</xdr:col>
      <xdr:colOff>361950</xdr:colOff>
      <xdr:row>57</xdr:row>
      <xdr:rowOff>99927</xdr:rowOff>
    </xdr:to>
    <xdr:sp macro="" textlink="">
      <xdr:nvSpPr>
        <xdr:cNvPr id="22" name="Rectangle: Rounded Corners 2">
          <a:extLst>
            <a:ext uri="{FF2B5EF4-FFF2-40B4-BE49-F238E27FC236}">
              <a16:creationId xmlns:a16="http://schemas.microsoft.com/office/drawing/2014/main" id="{CE8D0A53-0F67-4764-869B-52C004496D67}"/>
            </a:ext>
          </a:extLst>
        </xdr:cNvPr>
        <xdr:cNvSpPr/>
      </xdr:nvSpPr>
      <xdr:spPr>
        <a:xfrm>
          <a:off x="21475700" y="42334"/>
          <a:ext cx="11112500" cy="13049693"/>
        </a:xfrm>
        <a:custGeom>
          <a:avLst/>
          <a:gdLst>
            <a:gd name="connsiteX0" fmla="*/ 0 w 11049000"/>
            <a:gd name="connsiteY0" fmla="*/ 1841537 h 13430250"/>
            <a:gd name="connsiteX1" fmla="*/ 1841537 w 11049000"/>
            <a:gd name="connsiteY1" fmla="*/ 0 h 13430250"/>
            <a:gd name="connsiteX2" fmla="*/ 9207463 w 11049000"/>
            <a:gd name="connsiteY2" fmla="*/ 0 h 13430250"/>
            <a:gd name="connsiteX3" fmla="*/ 11049000 w 11049000"/>
            <a:gd name="connsiteY3" fmla="*/ 1841537 h 13430250"/>
            <a:gd name="connsiteX4" fmla="*/ 11049000 w 11049000"/>
            <a:gd name="connsiteY4" fmla="*/ 11588713 h 13430250"/>
            <a:gd name="connsiteX5" fmla="*/ 9207463 w 11049000"/>
            <a:gd name="connsiteY5" fmla="*/ 13430250 h 13430250"/>
            <a:gd name="connsiteX6" fmla="*/ 1841537 w 11049000"/>
            <a:gd name="connsiteY6" fmla="*/ 13430250 h 13430250"/>
            <a:gd name="connsiteX7" fmla="*/ 0 w 11049000"/>
            <a:gd name="connsiteY7" fmla="*/ 11588713 h 13430250"/>
            <a:gd name="connsiteX8" fmla="*/ 0 w 11049000"/>
            <a:gd name="connsiteY8" fmla="*/ 1841537 h 13430250"/>
            <a:gd name="connsiteX0" fmla="*/ 0 w 11144250"/>
            <a:gd name="connsiteY0" fmla="*/ 1117637 h 13430250"/>
            <a:gd name="connsiteX1" fmla="*/ 1936787 w 11144250"/>
            <a:gd name="connsiteY1" fmla="*/ 0 h 13430250"/>
            <a:gd name="connsiteX2" fmla="*/ 9302713 w 11144250"/>
            <a:gd name="connsiteY2" fmla="*/ 0 h 13430250"/>
            <a:gd name="connsiteX3" fmla="*/ 11144250 w 11144250"/>
            <a:gd name="connsiteY3" fmla="*/ 1841537 h 13430250"/>
            <a:gd name="connsiteX4" fmla="*/ 11144250 w 11144250"/>
            <a:gd name="connsiteY4" fmla="*/ 11588713 h 13430250"/>
            <a:gd name="connsiteX5" fmla="*/ 9302713 w 11144250"/>
            <a:gd name="connsiteY5" fmla="*/ 13430250 h 13430250"/>
            <a:gd name="connsiteX6" fmla="*/ 1936787 w 11144250"/>
            <a:gd name="connsiteY6" fmla="*/ 13430250 h 13430250"/>
            <a:gd name="connsiteX7" fmla="*/ 95250 w 11144250"/>
            <a:gd name="connsiteY7" fmla="*/ 11588713 h 13430250"/>
            <a:gd name="connsiteX8" fmla="*/ 0 w 11144250"/>
            <a:gd name="connsiteY8" fmla="*/ 1117637 h 13430250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95250 w 11182350"/>
            <a:gd name="connsiteY7" fmla="*/ 1158915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21333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213330 h 13430693"/>
            <a:gd name="connsiteX0" fmla="*/ 0 w 11163300"/>
            <a:gd name="connsiteY0" fmla="*/ 1156180 h 13430693"/>
            <a:gd name="connsiteX1" fmla="*/ 1917737 w 11163300"/>
            <a:gd name="connsiteY1" fmla="*/ 443 h 13430693"/>
            <a:gd name="connsiteX2" fmla="*/ 9283663 w 11163300"/>
            <a:gd name="connsiteY2" fmla="*/ 443 h 13430693"/>
            <a:gd name="connsiteX3" fmla="*/ 11163300 w 11163300"/>
            <a:gd name="connsiteY3" fmla="*/ 965680 h 13430693"/>
            <a:gd name="connsiteX4" fmla="*/ 11125200 w 11163300"/>
            <a:gd name="connsiteY4" fmla="*/ 12313056 h 13430693"/>
            <a:gd name="connsiteX5" fmla="*/ 9283663 w 11163300"/>
            <a:gd name="connsiteY5" fmla="*/ 13430693 h 13430693"/>
            <a:gd name="connsiteX6" fmla="*/ 1917737 w 11163300"/>
            <a:gd name="connsiteY6" fmla="*/ 13430693 h 13430693"/>
            <a:gd name="connsiteX7" fmla="*/ 95250 w 11163300"/>
            <a:gd name="connsiteY7" fmla="*/ 12294006 h 13430693"/>
            <a:gd name="connsiteX8" fmla="*/ 0 w 11163300"/>
            <a:gd name="connsiteY8" fmla="*/ 1156180 h 134306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1163300" h="13430693">
              <a:moveTo>
                <a:pt x="0" y="1156180"/>
              </a:moveTo>
              <a:cubicBezTo>
                <a:pt x="0" y="139127"/>
                <a:pt x="900684" y="443"/>
                <a:pt x="1917737" y="443"/>
              </a:cubicBezTo>
              <a:lnTo>
                <a:pt x="9283663" y="443"/>
              </a:lnTo>
              <a:cubicBezTo>
                <a:pt x="10300716" y="443"/>
                <a:pt x="11163300" y="-51373"/>
                <a:pt x="11163300" y="965680"/>
              </a:cubicBezTo>
              <a:lnTo>
                <a:pt x="11125200" y="12313056"/>
              </a:lnTo>
              <a:cubicBezTo>
                <a:pt x="11125200" y="13330109"/>
                <a:pt x="10300716" y="13430693"/>
                <a:pt x="9283663" y="13430693"/>
              </a:cubicBezTo>
              <a:lnTo>
                <a:pt x="1917737" y="13430693"/>
              </a:lnTo>
              <a:cubicBezTo>
                <a:pt x="900684" y="13430693"/>
                <a:pt x="95250" y="13311059"/>
                <a:pt x="95250" y="12294006"/>
              </a:cubicBezTo>
              <a:cubicBezTo>
                <a:pt x="95250" y="9044947"/>
                <a:pt x="0" y="4405239"/>
                <a:pt x="0" y="1156180"/>
              </a:cubicBezTo>
              <a:close/>
            </a:path>
          </a:pathLst>
        </a:custGeom>
        <a:solidFill>
          <a:srgbClr val="FFFFCC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12</xdr:col>
      <xdr:colOff>1019610</xdr:colOff>
      <xdr:row>40</xdr:row>
      <xdr:rowOff>122019</xdr:rowOff>
    </xdr:from>
    <xdr:to>
      <xdr:col>20</xdr:col>
      <xdr:colOff>494676</xdr:colOff>
      <xdr:row>53</xdr:row>
      <xdr:rowOff>122019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06943D2-3E3F-4BE2-90A6-2FBD115A80E1}"/>
            </a:ext>
          </a:extLst>
        </xdr:cNvPr>
        <xdr:cNvSpPr/>
      </xdr:nvSpPr>
      <xdr:spPr>
        <a:xfrm>
          <a:off x="14410639" y="10001872"/>
          <a:ext cx="6086537" cy="2540000"/>
        </a:xfrm>
        <a:prstGeom prst="roundRect">
          <a:avLst/>
        </a:prstGeom>
        <a:solidFill>
          <a:srgbClr val="9AF4CB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44</xdr:row>
      <xdr:rowOff>123826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2AB98CA-4A93-4E9A-A08F-2715F2520D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44</xdr:row>
      <xdr:rowOff>123826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4BB272F-BE6C-491A-9D89-36A24A183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64943</xdr:colOff>
      <xdr:row>5</xdr:row>
      <xdr:rowOff>292387</xdr:rowOff>
    </xdr:from>
    <xdr:to>
      <xdr:col>10</xdr:col>
      <xdr:colOff>990600</xdr:colOff>
      <xdr:row>7</xdr:row>
      <xdr:rowOff>323850</xdr:rowOff>
    </xdr:to>
    <xdr:sp macro="[0]!Sheet16.Reset_Cells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2BBE7A5C-75A9-4DD0-AF99-552CF7FB8638}"/>
            </a:ext>
          </a:extLst>
        </xdr:cNvPr>
        <xdr:cNvSpPr/>
      </xdr:nvSpPr>
      <xdr:spPr>
        <a:xfrm>
          <a:off x="9342293" y="1454437"/>
          <a:ext cx="2760807" cy="10855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2800" b="1"/>
            <a:t>Reset to Default</a:t>
          </a:r>
        </a:p>
      </xdr:txBody>
    </xdr:sp>
    <xdr:clientData/>
  </xdr:twoCellAnchor>
  <xdr:twoCellAnchor>
    <xdr:from>
      <xdr:col>21</xdr:col>
      <xdr:colOff>810140</xdr:colOff>
      <xdr:row>0</xdr:row>
      <xdr:rowOff>246162</xdr:rowOff>
    </xdr:from>
    <xdr:to>
      <xdr:col>38</xdr:col>
      <xdr:colOff>298275</xdr:colOff>
      <xdr:row>55</xdr:row>
      <xdr:rowOff>163047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BD1DA053-1BA9-4E68-A965-EFD6D1A826AB}"/>
            </a:ext>
          </a:extLst>
        </xdr:cNvPr>
        <xdr:cNvGrpSpPr/>
      </xdr:nvGrpSpPr>
      <xdr:grpSpPr>
        <a:xfrm>
          <a:off x="24990940" y="246162"/>
          <a:ext cx="11807135" cy="12743885"/>
          <a:chOff x="21047403" y="393333"/>
          <a:chExt cx="10799353" cy="13138145"/>
        </a:xfrm>
      </xdr:grpSpPr>
      <xdr:graphicFrame macro="">
        <xdr:nvGraphicFramePr>
          <xdr:cNvPr id="10" name="Chart 9">
            <a:extLst>
              <a:ext uri="{FF2B5EF4-FFF2-40B4-BE49-F238E27FC236}">
                <a16:creationId xmlns:a16="http://schemas.microsoft.com/office/drawing/2014/main" id="{FD31D8A5-33CA-E983-A049-B8C3A5323551}"/>
              </a:ext>
            </a:extLst>
          </xdr:cNvPr>
          <xdr:cNvGraphicFramePr>
            <a:graphicFrameLocks/>
          </xdr:cNvGraphicFramePr>
        </xdr:nvGraphicFramePr>
        <xdr:xfrm>
          <a:off x="21108201" y="393333"/>
          <a:ext cx="4672895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1" name="Chart 10">
            <a:extLst>
              <a:ext uri="{FF2B5EF4-FFF2-40B4-BE49-F238E27FC236}">
                <a16:creationId xmlns:a16="http://schemas.microsoft.com/office/drawing/2014/main" id="{DEA43916-4321-4552-64D3-4A1CFE093171}"/>
              </a:ext>
            </a:extLst>
          </xdr:cNvPr>
          <xdr:cNvGraphicFramePr>
            <a:graphicFrameLocks/>
          </xdr:cNvGraphicFramePr>
        </xdr:nvGraphicFramePr>
        <xdr:xfrm>
          <a:off x="27123442" y="393334"/>
          <a:ext cx="4723314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12" name="Chart 11">
            <a:extLst>
              <a:ext uri="{FF2B5EF4-FFF2-40B4-BE49-F238E27FC236}">
                <a16:creationId xmlns:a16="http://schemas.microsoft.com/office/drawing/2014/main" id="{B60E266B-76D8-413D-966D-0BB7B108FA62}"/>
              </a:ext>
            </a:extLst>
          </xdr:cNvPr>
          <xdr:cNvGraphicFramePr>
            <a:graphicFrameLocks/>
          </xdr:cNvGraphicFramePr>
        </xdr:nvGraphicFramePr>
        <xdr:xfrm>
          <a:off x="21108201" y="4972610"/>
          <a:ext cx="4665695" cy="455285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3" name="Chart 12">
            <a:extLst>
              <a:ext uri="{FF2B5EF4-FFF2-40B4-BE49-F238E27FC236}">
                <a16:creationId xmlns:a16="http://schemas.microsoft.com/office/drawing/2014/main" id="{551E57C6-1471-FD02-0274-9C75E0FCD2DA}"/>
              </a:ext>
            </a:extLst>
          </xdr:cNvPr>
          <xdr:cNvGraphicFramePr>
            <a:graphicFrameLocks/>
          </xdr:cNvGraphicFramePr>
        </xdr:nvGraphicFramePr>
        <xdr:xfrm>
          <a:off x="27048728" y="4901071"/>
          <a:ext cx="4716964" cy="454650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14" name="Chart 13">
            <a:extLst>
              <a:ext uri="{FF2B5EF4-FFF2-40B4-BE49-F238E27FC236}">
                <a16:creationId xmlns:a16="http://schemas.microsoft.com/office/drawing/2014/main" id="{44D6C1D8-C08D-6173-99F9-A2CD9BA7FE21}"/>
              </a:ext>
            </a:extLst>
          </xdr:cNvPr>
          <xdr:cNvGraphicFramePr>
            <a:graphicFrameLocks/>
          </xdr:cNvGraphicFramePr>
        </xdr:nvGraphicFramePr>
        <xdr:xfrm>
          <a:off x="21047403" y="9120480"/>
          <a:ext cx="4668870" cy="441099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985F8140-0DB7-686F-3DCF-C93045063E2E}"/>
              </a:ext>
            </a:extLst>
          </xdr:cNvPr>
          <xdr:cNvGraphicFramePr>
            <a:graphicFrameLocks/>
          </xdr:cNvGraphicFramePr>
        </xdr:nvGraphicFramePr>
        <xdr:xfrm>
          <a:off x="27005021" y="9089471"/>
          <a:ext cx="4723314" cy="440464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0</xdr:col>
      <xdr:colOff>596678</xdr:colOff>
      <xdr:row>18</xdr:row>
      <xdr:rowOff>677</xdr:rowOff>
    </xdr:from>
    <xdr:to>
      <xdr:col>11</xdr:col>
      <xdr:colOff>761974</xdr:colOff>
      <xdr:row>58</xdr:row>
      <xdr:rowOff>85257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5BF13DA3-BCC9-4319-84F7-7D6D77B4DD45}"/>
            </a:ext>
          </a:extLst>
        </xdr:cNvPr>
        <xdr:cNvGrpSpPr/>
      </xdr:nvGrpSpPr>
      <xdr:grpSpPr>
        <a:xfrm>
          <a:off x="596678" y="5817277"/>
          <a:ext cx="14668696" cy="7653780"/>
          <a:chOff x="237735" y="5239051"/>
          <a:chExt cx="10623468" cy="5458923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16BB0C7E-004B-53C7-120E-793807214B2A}"/>
              </a:ext>
            </a:extLst>
          </xdr:cNvPr>
          <xdr:cNvSpPr/>
        </xdr:nvSpPr>
        <xdr:spPr>
          <a:xfrm>
            <a:off x="237735" y="5295850"/>
            <a:ext cx="10623468" cy="5366045"/>
          </a:xfrm>
          <a:prstGeom prst="rect">
            <a:avLst/>
          </a:prstGeom>
          <a:solidFill>
            <a:schemeClr val="accent1">
              <a:lumMod val="20000"/>
              <a:lumOff val="80000"/>
              <a:alpha val="23922"/>
            </a:schemeClr>
          </a:solidFill>
          <a:ln w="25400"/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graphicFrame macro="">
        <xdr:nvGraphicFramePr>
          <xdr:cNvPr id="18" name="Chart 17">
            <a:extLst>
              <a:ext uri="{FF2B5EF4-FFF2-40B4-BE49-F238E27FC236}">
                <a16:creationId xmlns:a16="http://schemas.microsoft.com/office/drawing/2014/main" id="{48849063-E7ED-51B4-9B3C-90278F666BB8}"/>
              </a:ext>
            </a:extLst>
          </xdr:cNvPr>
          <xdr:cNvGraphicFramePr>
            <a:graphicFrameLocks/>
          </xdr:cNvGraphicFramePr>
        </xdr:nvGraphicFramePr>
        <xdr:xfrm>
          <a:off x="328620" y="6806303"/>
          <a:ext cx="5309567" cy="364931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9" name="Chart 18">
            <a:extLst>
              <a:ext uri="{FF2B5EF4-FFF2-40B4-BE49-F238E27FC236}">
                <a16:creationId xmlns:a16="http://schemas.microsoft.com/office/drawing/2014/main" id="{CA445781-0878-14B7-9183-7A0D1B30248B}"/>
              </a:ext>
            </a:extLst>
          </xdr:cNvPr>
          <xdr:cNvGraphicFramePr>
            <a:graphicFrameLocks/>
          </xdr:cNvGraphicFramePr>
        </xdr:nvGraphicFramePr>
        <xdr:xfrm>
          <a:off x="4101983" y="5239051"/>
          <a:ext cx="6735016" cy="545892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853495B3-CBE2-1CC9-E835-13F9B8B828D0}"/>
              </a:ext>
            </a:extLst>
          </xdr:cNvPr>
          <xdr:cNvSpPr txBox="1"/>
        </xdr:nvSpPr>
        <xdr:spPr>
          <a:xfrm>
            <a:off x="411389" y="5400466"/>
            <a:ext cx="4954072" cy="107653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AU" sz="5400"/>
              <a:t>Variable Cost</a:t>
            </a:r>
          </a:p>
        </xdr:txBody>
      </xdr:sp>
    </xdr:grpSp>
    <xdr:clientData/>
  </xdr:twoCellAnchor>
  <xdr:twoCellAnchor>
    <xdr:from>
      <xdr:col>11</xdr:col>
      <xdr:colOff>1043970</xdr:colOff>
      <xdr:row>5</xdr:row>
      <xdr:rowOff>29481</xdr:rowOff>
    </xdr:from>
    <xdr:to>
      <xdr:col>21</xdr:col>
      <xdr:colOff>260995</xdr:colOff>
      <xdr:row>32</xdr:row>
      <xdr:rowOff>88142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6F540E3A-BA37-420F-B652-44962EEDC1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</xdr:col>
      <xdr:colOff>226482</xdr:colOff>
      <xdr:row>0</xdr:row>
      <xdr:rowOff>239184</xdr:rowOff>
    </xdr:from>
    <xdr:to>
      <xdr:col>1</xdr:col>
      <xdr:colOff>1058445</xdr:colOff>
      <xdr:row>4</xdr:row>
      <xdr:rowOff>10307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7BBE3086-A9B9-4776-9A69-3F12B7210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315" y="239184"/>
          <a:ext cx="835138" cy="67811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203200</xdr:colOff>
      <xdr:row>63</xdr:row>
      <xdr:rowOff>139700</xdr:rowOff>
    </xdr:from>
    <xdr:to>
      <xdr:col>2</xdr:col>
      <xdr:colOff>749300</xdr:colOff>
      <xdr:row>73</xdr:row>
      <xdr:rowOff>50800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D367376-25BB-924E-8EE5-EE3F1E748E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9666" t="38333" b="10666"/>
        <a:stretch/>
      </xdr:blipFill>
      <xdr:spPr>
        <a:xfrm>
          <a:off x="863600" y="14414500"/>
          <a:ext cx="4546600" cy="1816100"/>
        </a:xfrm>
        <a:prstGeom prst="rect">
          <a:avLst/>
        </a:prstGeom>
      </xdr:spPr>
    </xdr:pic>
    <xdr:clientData/>
  </xdr:twoCellAnchor>
  <xdr:twoCellAnchor editAs="oneCell">
    <xdr:from>
      <xdr:col>3</xdr:col>
      <xdr:colOff>558799</xdr:colOff>
      <xdr:row>63</xdr:row>
      <xdr:rowOff>76200</xdr:rowOff>
    </xdr:from>
    <xdr:to>
      <xdr:col>8</xdr:col>
      <xdr:colOff>27516</xdr:colOff>
      <xdr:row>73</xdr:row>
      <xdr:rowOff>50800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289E86D-3EB9-A248-9821-62FE01758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664199" y="14351000"/>
          <a:ext cx="5132917" cy="1879600"/>
        </a:xfrm>
        <a:prstGeom prst="rect">
          <a:avLst/>
        </a:prstGeom>
      </xdr:spPr>
    </xdr:pic>
    <xdr:clientData/>
  </xdr:twoCellAnchor>
  <xdr:twoCellAnchor editAs="oneCell">
    <xdr:from>
      <xdr:col>8</xdr:col>
      <xdr:colOff>253999</xdr:colOff>
      <xdr:row>63</xdr:row>
      <xdr:rowOff>76200</xdr:rowOff>
    </xdr:from>
    <xdr:to>
      <xdr:col>14</xdr:col>
      <xdr:colOff>976</xdr:colOff>
      <xdr:row>73</xdr:row>
      <xdr:rowOff>63500</xdr:rowOff>
    </xdr:to>
    <xdr:pic>
      <xdr:nvPicPr>
        <xdr:cNvPr id="7" name="Picture 6" descr="A green and white logo&#10;&#10;Description automatically generated">
          <a:extLst>
            <a:ext uri="{FF2B5EF4-FFF2-40B4-BE49-F238E27FC236}">
              <a16:creationId xmlns:a16="http://schemas.microsoft.com/office/drawing/2014/main" id="{ABD1E880-3818-BF4B-A7DD-118FB7049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023599" y="14351000"/>
          <a:ext cx="5373077" cy="1892300"/>
        </a:xfrm>
        <a:prstGeom prst="rect">
          <a:avLst/>
        </a:prstGeom>
      </xdr:spPr>
    </xdr:pic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0.09629</cdr:x>
      <cdr:y>0.03648</cdr:y>
    </cdr:from>
    <cdr:to>
      <cdr:x>0.33039</cdr:x>
      <cdr:y>0.1073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E7EE669-4530-F815-D484-097DC19BAD05}"/>
            </a:ext>
          </a:extLst>
        </cdr:cNvPr>
        <cdr:cNvSpPr txBox="1"/>
      </cdr:nvSpPr>
      <cdr:spPr>
        <a:xfrm xmlns:a="http://schemas.openxmlformats.org/drawingml/2006/main">
          <a:off x="771071" y="257023"/>
          <a:ext cx="1874762" cy="4989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AU" sz="2800"/>
            <a:t>Alternative</a:t>
          </a:r>
          <a:endParaRPr lang="en-AU" sz="1100"/>
        </a:p>
      </cdr:txBody>
    </cdr:sp>
  </cdr:relSizeAnchor>
  <cdr:relSizeAnchor xmlns:cdr="http://schemas.openxmlformats.org/drawingml/2006/chartDrawing">
    <cdr:from>
      <cdr:x>0.42169</cdr:x>
      <cdr:y>0.45602</cdr:y>
    </cdr:from>
    <cdr:to>
      <cdr:x>0.60483</cdr:x>
      <cdr:y>0.53817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1D8DF000-6E85-2475-7007-96B8CAFE97F0}"/>
            </a:ext>
          </a:extLst>
        </cdr:cNvPr>
        <cdr:cNvSpPr txBox="1"/>
      </cdr:nvSpPr>
      <cdr:spPr>
        <a:xfrm xmlns:a="http://schemas.openxmlformats.org/drawingml/2006/main">
          <a:off x="3380833" y="3389070"/>
          <a:ext cx="1468217" cy="6105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2800"/>
            <a:t>Baseline</a:t>
          </a:r>
          <a:endParaRPr lang="en-AU" sz="1100"/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495300</xdr:colOff>
      <xdr:row>0</xdr:row>
      <xdr:rowOff>86784</xdr:rowOff>
    </xdr:from>
    <xdr:to>
      <xdr:col>38</xdr:col>
      <xdr:colOff>361950</xdr:colOff>
      <xdr:row>57</xdr:row>
      <xdr:rowOff>144377</xdr:rowOff>
    </xdr:to>
    <xdr:sp macro="" textlink="">
      <xdr:nvSpPr>
        <xdr:cNvPr id="22" name="Rectangle: Rounded Corners 2">
          <a:extLst>
            <a:ext uri="{FF2B5EF4-FFF2-40B4-BE49-F238E27FC236}">
              <a16:creationId xmlns:a16="http://schemas.microsoft.com/office/drawing/2014/main" id="{C24A6F5A-40B1-4B82-84EF-7601D789F2F8}"/>
            </a:ext>
          </a:extLst>
        </xdr:cNvPr>
        <xdr:cNvSpPr/>
      </xdr:nvSpPr>
      <xdr:spPr>
        <a:xfrm>
          <a:off x="21602700" y="86784"/>
          <a:ext cx="11163300" cy="13487843"/>
        </a:xfrm>
        <a:custGeom>
          <a:avLst/>
          <a:gdLst>
            <a:gd name="connsiteX0" fmla="*/ 0 w 11049000"/>
            <a:gd name="connsiteY0" fmla="*/ 1841537 h 13430250"/>
            <a:gd name="connsiteX1" fmla="*/ 1841537 w 11049000"/>
            <a:gd name="connsiteY1" fmla="*/ 0 h 13430250"/>
            <a:gd name="connsiteX2" fmla="*/ 9207463 w 11049000"/>
            <a:gd name="connsiteY2" fmla="*/ 0 h 13430250"/>
            <a:gd name="connsiteX3" fmla="*/ 11049000 w 11049000"/>
            <a:gd name="connsiteY3" fmla="*/ 1841537 h 13430250"/>
            <a:gd name="connsiteX4" fmla="*/ 11049000 w 11049000"/>
            <a:gd name="connsiteY4" fmla="*/ 11588713 h 13430250"/>
            <a:gd name="connsiteX5" fmla="*/ 9207463 w 11049000"/>
            <a:gd name="connsiteY5" fmla="*/ 13430250 h 13430250"/>
            <a:gd name="connsiteX6" fmla="*/ 1841537 w 11049000"/>
            <a:gd name="connsiteY6" fmla="*/ 13430250 h 13430250"/>
            <a:gd name="connsiteX7" fmla="*/ 0 w 11049000"/>
            <a:gd name="connsiteY7" fmla="*/ 11588713 h 13430250"/>
            <a:gd name="connsiteX8" fmla="*/ 0 w 11049000"/>
            <a:gd name="connsiteY8" fmla="*/ 1841537 h 13430250"/>
            <a:gd name="connsiteX0" fmla="*/ 0 w 11144250"/>
            <a:gd name="connsiteY0" fmla="*/ 1117637 h 13430250"/>
            <a:gd name="connsiteX1" fmla="*/ 1936787 w 11144250"/>
            <a:gd name="connsiteY1" fmla="*/ 0 h 13430250"/>
            <a:gd name="connsiteX2" fmla="*/ 9302713 w 11144250"/>
            <a:gd name="connsiteY2" fmla="*/ 0 h 13430250"/>
            <a:gd name="connsiteX3" fmla="*/ 11144250 w 11144250"/>
            <a:gd name="connsiteY3" fmla="*/ 1841537 h 13430250"/>
            <a:gd name="connsiteX4" fmla="*/ 11144250 w 11144250"/>
            <a:gd name="connsiteY4" fmla="*/ 11588713 h 13430250"/>
            <a:gd name="connsiteX5" fmla="*/ 9302713 w 11144250"/>
            <a:gd name="connsiteY5" fmla="*/ 13430250 h 13430250"/>
            <a:gd name="connsiteX6" fmla="*/ 1936787 w 11144250"/>
            <a:gd name="connsiteY6" fmla="*/ 13430250 h 13430250"/>
            <a:gd name="connsiteX7" fmla="*/ 95250 w 11144250"/>
            <a:gd name="connsiteY7" fmla="*/ 11588713 h 13430250"/>
            <a:gd name="connsiteX8" fmla="*/ 0 w 11144250"/>
            <a:gd name="connsiteY8" fmla="*/ 1117637 h 13430250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95250 w 11182350"/>
            <a:gd name="connsiteY7" fmla="*/ 1158915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15891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11808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118080 h 13430693"/>
            <a:gd name="connsiteX0" fmla="*/ 0 w 11182350"/>
            <a:gd name="connsiteY0" fmla="*/ 1213330 h 13430693"/>
            <a:gd name="connsiteX1" fmla="*/ 1936787 w 11182350"/>
            <a:gd name="connsiteY1" fmla="*/ 443 h 13430693"/>
            <a:gd name="connsiteX2" fmla="*/ 9302713 w 11182350"/>
            <a:gd name="connsiteY2" fmla="*/ 443 h 13430693"/>
            <a:gd name="connsiteX3" fmla="*/ 11182350 w 11182350"/>
            <a:gd name="connsiteY3" fmla="*/ 965680 h 13430693"/>
            <a:gd name="connsiteX4" fmla="*/ 11144250 w 11182350"/>
            <a:gd name="connsiteY4" fmla="*/ 12313056 h 13430693"/>
            <a:gd name="connsiteX5" fmla="*/ 9302713 w 11182350"/>
            <a:gd name="connsiteY5" fmla="*/ 13430693 h 13430693"/>
            <a:gd name="connsiteX6" fmla="*/ 1936787 w 11182350"/>
            <a:gd name="connsiteY6" fmla="*/ 13430693 h 13430693"/>
            <a:gd name="connsiteX7" fmla="*/ 114300 w 11182350"/>
            <a:gd name="connsiteY7" fmla="*/ 12294006 h 13430693"/>
            <a:gd name="connsiteX8" fmla="*/ 0 w 11182350"/>
            <a:gd name="connsiteY8" fmla="*/ 1213330 h 13430693"/>
            <a:gd name="connsiteX0" fmla="*/ 0 w 11163300"/>
            <a:gd name="connsiteY0" fmla="*/ 1156180 h 13430693"/>
            <a:gd name="connsiteX1" fmla="*/ 1917737 w 11163300"/>
            <a:gd name="connsiteY1" fmla="*/ 443 h 13430693"/>
            <a:gd name="connsiteX2" fmla="*/ 9283663 w 11163300"/>
            <a:gd name="connsiteY2" fmla="*/ 443 h 13430693"/>
            <a:gd name="connsiteX3" fmla="*/ 11163300 w 11163300"/>
            <a:gd name="connsiteY3" fmla="*/ 965680 h 13430693"/>
            <a:gd name="connsiteX4" fmla="*/ 11125200 w 11163300"/>
            <a:gd name="connsiteY4" fmla="*/ 12313056 h 13430693"/>
            <a:gd name="connsiteX5" fmla="*/ 9283663 w 11163300"/>
            <a:gd name="connsiteY5" fmla="*/ 13430693 h 13430693"/>
            <a:gd name="connsiteX6" fmla="*/ 1917737 w 11163300"/>
            <a:gd name="connsiteY6" fmla="*/ 13430693 h 13430693"/>
            <a:gd name="connsiteX7" fmla="*/ 95250 w 11163300"/>
            <a:gd name="connsiteY7" fmla="*/ 12294006 h 13430693"/>
            <a:gd name="connsiteX8" fmla="*/ 0 w 11163300"/>
            <a:gd name="connsiteY8" fmla="*/ 1156180 h 134306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1163300" h="13430693">
              <a:moveTo>
                <a:pt x="0" y="1156180"/>
              </a:moveTo>
              <a:cubicBezTo>
                <a:pt x="0" y="139127"/>
                <a:pt x="900684" y="443"/>
                <a:pt x="1917737" y="443"/>
              </a:cubicBezTo>
              <a:lnTo>
                <a:pt x="9283663" y="443"/>
              </a:lnTo>
              <a:cubicBezTo>
                <a:pt x="10300716" y="443"/>
                <a:pt x="11163300" y="-51373"/>
                <a:pt x="11163300" y="965680"/>
              </a:cubicBezTo>
              <a:lnTo>
                <a:pt x="11125200" y="12313056"/>
              </a:lnTo>
              <a:cubicBezTo>
                <a:pt x="11125200" y="13330109"/>
                <a:pt x="10300716" y="13430693"/>
                <a:pt x="9283663" y="13430693"/>
              </a:cubicBezTo>
              <a:lnTo>
                <a:pt x="1917737" y="13430693"/>
              </a:lnTo>
              <a:cubicBezTo>
                <a:pt x="900684" y="13430693"/>
                <a:pt x="95250" y="13311059"/>
                <a:pt x="95250" y="12294006"/>
              </a:cubicBezTo>
              <a:cubicBezTo>
                <a:pt x="95250" y="9044947"/>
                <a:pt x="0" y="4405239"/>
                <a:pt x="0" y="1156180"/>
              </a:cubicBezTo>
              <a:close/>
            </a:path>
          </a:pathLst>
        </a:custGeom>
        <a:solidFill>
          <a:srgbClr val="FFFFCC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12</xdr:col>
      <xdr:colOff>1045536</xdr:colOff>
      <xdr:row>40</xdr:row>
      <xdr:rowOff>142973</xdr:rowOff>
    </xdr:from>
    <xdr:to>
      <xdr:col>20</xdr:col>
      <xdr:colOff>517427</xdr:colOff>
      <xdr:row>53</xdr:row>
      <xdr:rowOff>136623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FACA76E-7ADF-42C8-98A5-D6873DC909C1}"/>
            </a:ext>
          </a:extLst>
        </xdr:cNvPr>
        <xdr:cNvSpPr/>
      </xdr:nvSpPr>
      <xdr:spPr>
        <a:xfrm>
          <a:off x="14415172" y="9633337"/>
          <a:ext cx="6087437" cy="2366241"/>
        </a:xfrm>
        <a:prstGeom prst="roundRect">
          <a:avLst/>
        </a:prstGeom>
        <a:solidFill>
          <a:srgbClr val="9AF4CB">
            <a:alpha val="20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44</xdr:row>
      <xdr:rowOff>123826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5E87B52-9B6D-471A-B02C-B42FE7DA33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44</xdr:row>
      <xdr:rowOff>123826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F6C933A-943E-4361-A402-FF33E0414A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64943</xdr:colOff>
      <xdr:row>5</xdr:row>
      <xdr:rowOff>292387</xdr:rowOff>
    </xdr:from>
    <xdr:to>
      <xdr:col>10</xdr:col>
      <xdr:colOff>990600</xdr:colOff>
      <xdr:row>7</xdr:row>
      <xdr:rowOff>323850</xdr:rowOff>
    </xdr:to>
    <xdr:sp macro="[0]!Sheet17.Reset_Cells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7805AB4D-18A1-44E2-BC1C-633D9423CF6B}"/>
            </a:ext>
          </a:extLst>
        </xdr:cNvPr>
        <xdr:cNvSpPr/>
      </xdr:nvSpPr>
      <xdr:spPr>
        <a:xfrm>
          <a:off x="9342293" y="1454437"/>
          <a:ext cx="2760807" cy="10855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2800" b="1" baseline="0"/>
            <a:t>Reset</a:t>
          </a:r>
          <a:r>
            <a:rPr lang="en-AU" sz="2800" b="1"/>
            <a:t> to Default</a:t>
          </a:r>
        </a:p>
      </xdr:txBody>
    </xdr:sp>
    <xdr:clientData/>
  </xdr:twoCellAnchor>
  <xdr:twoCellAnchor>
    <xdr:from>
      <xdr:col>21</xdr:col>
      <xdr:colOff>810140</xdr:colOff>
      <xdr:row>1</xdr:row>
      <xdr:rowOff>8037</xdr:rowOff>
    </xdr:from>
    <xdr:to>
      <xdr:col>38</xdr:col>
      <xdr:colOff>298275</xdr:colOff>
      <xdr:row>56</xdr:row>
      <xdr:rowOff>10647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2D1A6657-6218-4D09-B002-72A9EF59EBD8}"/>
            </a:ext>
          </a:extLst>
        </xdr:cNvPr>
        <xdr:cNvGrpSpPr/>
      </xdr:nvGrpSpPr>
      <xdr:grpSpPr>
        <a:xfrm>
          <a:off x="24914740" y="262037"/>
          <a:ext cx="11807135" cy="12753410"/>
          <a:chOff x="21047403" y="393333"/>
          <a:chExt cx="10799353" cy="13138145"/>
        </a:xfrm>
      </xdr:grpSpPr>
      <xdr:graphicFrame macro="">
        <xdr:nvGraphicFramePr>
          <xdr:cNvPr id="10" name="Chart 9">
            <a:extLst>
              <a:ext uri="{FF2B5EF4-FFF2-40B4-BE49-F238E27FC236}">
                <a16:creationId xmlns:a16="http://schemas.microsoft.com/office/drawing/2014/main" id="{269C1635-D89A-E7B9-F735-8A32344A92E2}"/>
              </a:ext>
            </a:extLst>
          </xdr:cNvPr>
          <xdr:cNvGraphicFramePr>
            <a:graphicFrameLocks/>
          </xdr:cNvGraphicFramePr>
        </xdr:nvGraphicFramePr>
        <xdr:xfrm>
          <a:off x="21108201" y="393333"/>
          <a:ext cx="4672895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1" name="Chart 10">
            <a:extLst>
              <a:ext uri="{FF2B5EF4-FFF2-40B4-BE49-F238E27FC236}">
                <a16:creationId xmlns:a16="http://schemas.microsoft.com/office/drawing/2014/main" id="{EBB4BBBC-1F91-967F-3DE6-B82AB10326BC}"/>
              </a:ext>
            </a:extLst>
          </xdr:cNvPr>
          <xdr:cNvGraphicFramePr>
            <a:graphicFrameLocks/>
          </xdr:cNvGraphicFramePr>
        </xdr:nvGraphicFramePr>
        <xdr:xfrm>
          <a:off x="27123442" y="393334"/>
          <a:ext cx="4723314" cy="495102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12" name="Chart 11">
            <a:extLst>
              <a:ext uri="{FF2B5EF4-FFF2-40B4-BE49-F238E27FC236}">
                <a16:creationId xmlns:a16="http://schemas.microsoft.com/office/drawing/2014/main" id="{7ACC680F-4048-7AE6-009D-588D1D040349}"/>
              </a:ext>
            </a:extLst>
          </xdr:cNvPr>
          <xdr:cNvGraphicFramePr>
            <a:graphicFrameLocks/>
          </xdr:cNvGraphicFramePr>
        </xdr:nvGraphicFramePr>
        <xdr:xfrm>
          <a:off x="21108201" y="4972610"/>
          <a:ext cx="4665695" cy="455285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3" name="Chart 12">
            <a:extLst>
              <a:ext uri="{FF2B5EF4-FFF2-40B4-BE49-F238E27FC236}">
                <a16:creationId xmlns:a16="http://schemas.microsoft.com/office/drawing/2014/main" id="{F39FA7FC-D3A3-7001-FA5F-E0E8F574E897}"/>
              </a:ext>
            </a:extLst>
          </xdr:cNvPr>
          <xdr:cNvGraphicFramePr>
            <a:graphicFrameLocks/>
          </xdr:cNvGraphicFramePr>
        </xdr:nvGraphicFramePr>
        <xdr:xfrm>
          <a:off x="27048728" y="4901071"/>
          <a:ext cx="4716964" cy="454650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14" name="Chart 13">
            <a:extLst>
              <a:ext uri="{FF2B5EF4-FFF2-40B4-BE49-F238E27FC236}">
                <a16:creationId xmlns:a16="http://schemas.microsoft.com/office/drawing/2014/main" id="{A761DC32-D458-F26A-19AF-C8AF68497077}"/>
              </a:ext>
            </a:extLst>
          </xdr:cNvPr>
          <xdr:cNvGraphicFramePr>
            <a:graphicFrameLocks/>
          </xdr:cNvGraphicFramePr>
        </xdr:nvGraphicFramePr>
        <xdr:xfrm>
          <a:off x="21047403" y="9120480"/>
          <a:ext cx="4668870" cy="441099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6C4C0F90-AA9C-2CDB-245F-EDA5426A6D52}"/>
              </a:ext>
            </a:extLst>
          </xdr:cNvPr>
          <xdr:cNvGraphicFramePr>
            <a:graphicFrameLocks/>
          </xdr:cNvGraphicFramePr>
        </xdr:nvGraphicFramePr>
        <xdr:xfrm>
          <a:off x="27005021" y="9089471"/>
          <a:ext cx="4723314" cy="440464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0</xdr:col>
      <xdr:colOff>596678</xdr:colOff>
      <xdr:row>18</xdr:row>
      <xdr:rowOff>677</xdr:rowOff>
    </xdr:from>
    <xdr:to>
      <xdr:col>11</xdr:col>
      <xdr:colOff>761974</xdr:colOff>
      <xdr:row>58</xdr:row>
      <xdr:rowOff>85257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9CFB7677-1731-4363-959F-048FFF08A218}"/>
            </a:ext>
          </a:extLst>
        </xdr:cNvPr>
        <xdr:cNvGrpSpPr/>
      </xdr:nvGrpSpPr>
      <xdr:grpSpPr>
        <a:xfrm>
          <a:off x="596678" y="5817277"/>
          <a:ext cx="14592496" cy="7653780"/>
          <a:chOff x="237735" y="5239051"/>
          <a:chExt cx="10623468" cy="5458923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F72EDCA3-2C52-B62A-A8BF-BF97111E7E6C}"/>
              </a:ext>
            </a:extLst>
          </xdr:cNvPr>
          <xdr:cNvSpPr/>
        </xdr:nvSpPr>
        <xdr:spPr>
          <a:xfrm>
            <a:off x="237735" y="5295850"/>
            <a:ext cx="10623468" cy="5366045"/>
          </a:xfrm>
          <a:prstGeom prst="rect">
            <a:avLst/>
          </a:prstGeom>
          <a:solidFill>
            <a:schemeClr val="accent1">
              <a:lumMod val="20000"/>
              <a:lumOff val="80000"/>
              <a:alpha val="23922"/>
            </a:schemeClr>
          </a:solidFill>
          <a:ln w="25400"/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graphicFrame macro="">
        <xdr:nvGraphicFramePr>
          <xdr:cNvPr id="18" name="Chart 17">
            <a:extLst>
              <a:ext uri="{FF2B5EF4-FFF2-40B4-BE49-F238E27FC236}">
                <a16:creationId xmlns:a16="http://schemas.microsoft.com/office/drawing/2014/main" id="{B0593043-5B6D-DD41-4C0B-5C45C80EF218}"/>
              </a:ext>
            </a:extLst>
          </xdr:cNvPr>
          <xdr:cNvGraphicFramePr>
            <a:graphicFrameLocks/>
          </xdr:cNvGraphicFramePr>
        </xdr:nvGraphicFramePr>
        <xdr:xfrm>
          <a:off x="328620" y="6806303"/>
          <a:ext cx="5309567" cy="364931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9" name="Chart 18">
            <a:extLst>
              <a:ext uri="{FF2B5EF4-FFF2-40B4-BE49-F238E27FC236}">
                <a16:creationId xmlns:a16="http://schemas.microsoft.com/office/drawing/2014/main" id="{A0B1C69C-5552-787E-099D-CE6B2CC2840E}"/>
              </a:ext>
            </a:extLst>
          </xdr:cNvPr>
          <xdr:cNvGraphicFramePr>
            <a:graphicFrameLocks/>
          </xdr:cNvGraphicFramePr>
        </xdr:nvGraphicFramePr>
        <xdr:xfrm>
          <a:off x="4101983" y="5239051"/>
          <a:ext cx="6735016" cy="545892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D9C25892-3884-F40C-79D3-DCCAA7ACA7E1}"/>
              </a:ext>
            </a:extLst>
          </xdr:cNvPr>
          <xdr:cNvSpPr txBox="1"/>
        </xdr:nvSpPr>
        <xdr:spPr>
          <a:xfrm>
            <a:off x="411389" y="5400466"/>
            <a:ext cx="4954072" cy="107653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AU" sz="5400"/>
              <a:t>Variable Cost</a:t>
            </a:r>
          </a:p>
        </xdr:txBody>
      </xdr:sp>
    </xdr:grpSp>
    <xdr:clientData/>
  </xdr:twoCellAnchor>
  <xdr:twoCellAnchor>
    <xdr:from>
      <xdr:col>11</xdr:col>
      <xdr:colOff>1043970</xdr:colOff>
      <xdr:row>5</xdr:row>
      <xdr:rowOff>29481</xdr:rowOff>
    </xdr:from>
    <xdr:to>
      <xdr:col>21</xdr:col>
      <xdr:colOff>260995</xdr:colOff>
      <xdr:row>32</xdr:row>
      <xdr:rowOff>88142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EE2808AC-6A37-43ED-8B29-67FBEF05A3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</xdr:col>
      <xdr:colOff>273915</xdr:colOff>
      <xdr:row>1</xdr:row>
      <xdr:rowOff>1</xdr:rowOff>
    </xdr:from>
    <xdr:to>
      <xdr:col>1</xdr:col>
      <xdr:colOff>897370</xdr:colOff>
      <xdr:row>3</xdr:row>
      <xdr:rowOff>221962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158B1141-AD53-40DA-8255-02D5B67A6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051" y="259774"/>
          <a:ext cx="623455" cy="599786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203200</xdr:colOff>
      <xdr:row>63</xdr:row>
      <xdr:rowOff>139700</xdr:rowOff>
    </xdr:from>
    <xdr:to>
      <xdr:col>2</xdr:col>
      <xdr:colOff>825500</xdr:colOff>
      <xdr:row>73</xdr:row>
      <xdr:rowOff>50800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A9F4DC6-2976-2B46-842F-8CA38693A2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9666" t="38333" b="10666"/>
        <a:stretch/>
      </xdr:blipFill>
      <xdr:spPr>
        <a:xfrm>
          <a:off x="863600" y="14414500"/>
          <a:ext cx="4546600" cy="1816100"/>
        </a:xfrm>
        <a:prstGeom prst="rect">
          <a:avLst/>
        </a:prstGeom>
      </xdr:spPr>
    </xdr:pic>
    <xdr:clientData/>
  </xdr:twoCellAnchor>
  <xdr:twoCellAnchor editAs="oneCell">
    <xdr:from>
      <xdr:col>3</xdr:col>
      <xdr:colOff>558799</xdr:colOff>
      <xdr:row>63</xdr:row>
      <xdr:rowOff>76200</xdr:rowOff>
    </xdr:from>
    <xdr:to>
      <xdr:col>8</xdr:col>
      <xdr:colOff>27516</xdr:colOff>
      <xdr:row>73</xdr:row>
      <xdr:rowOff>50800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E5FD887-27EA-7A48-AAD5-9FC20F0F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664199" y="14351000"/>
          <a:ext cx="5132917" cy="1879600"/>
        </a:xfrm>
        <a:prstGeom prst="rect">
          <a:avLst/>
        </a:prstGeom>
      </xdr:spPr>
    </xdr:pic>
    <xdr:clientData/>
  </xdr:twoCellAnchor>
  <xdr:twoCellAnchor editAs="oneCell">
    <xdr:from>
      <xdr:col>8</xdr:col>
      <xdr:colOff>253999</xdr:colOff>
      <xdr:row>63</xdr:row>
      <xdr:rowOff>76200</xdr:rowOff>
    </xdr:from>
    <xdr:to>
      <xdr:col>14</xdr:col>
      <xdr:colOff>976</xdr:colOff>
      <xdr:row>73</xdr:row>
      <xdr:rowOff>63500</xdr:rowOff>
    </xdr:to>
    <xdr:pic>
      <xdr:nvPicPr>
        <xdr:cNvPr id="7" name="Picture 6" descr="A green and white logo&#10;&#10;Description automatically generated">
          <a:extLst>
            <a:ext uri="{FF2B5EF4-FFF2-40B4-BE49-F238E27FC236}">
              <a16:creationId xmlns:a16="http://schemas.microsoft.com/office/drawing/2014/main" id="{66210CDE-3647-ED46-8922-18E4F1000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023599" y="14351000"/>
          <a:ext cx="5373077" cy="1892300"/>
        </a:xfrm>
        <a:prstGeom prst="rect">
          <a:avLst/>
        </a:prstGeom>
      </xdr:spPr>
    </xdr:pic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0.09629</cdr:x>
      <cdr:y>0.03648</cdr:y>
    </cdr:from>
    <cdr:to>
      <cdr:x>0.33039</cdr:x>
      <cdr:y>0.1073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7E7EE669-4530-F815-D484-097DC19BAD05}"/>
            </a:ext>
          </a:extLst>
        </cdr:cNvPr>
        <cdr:cNvSpPr txBox="1"/>
      </cdr:nvSpPr>
      <cdr:spPr>
        <a:xfrm xmlns:a="http://schemas.openxmlformats.org/drawingml/2006/main">
          <a:off x="771071" y="257023"/>
          <a:ext cx="1874762" cy="4989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AU" sz="2800"/>
            <a:t>Alternative</a:t>
          </a:r>
          <a:endParaRPr lang="en-AU" sz="1100"/>
        </a:p>
      </cdr:txBody>
    </cdr:sp>
  </cdr:relSizeAnchor>
  <cdr:relSizeAnchor xmlns:cdr="http://schemas.openxmlformats.org/drawingml/2006/chartDrawing">
    <cdr:from>
      <cdr:x>0.42169</cdr:x>
      <cdr:y>0.45602</cdr:y>
    </cdr:from>
    <cdr:to>
      <cdr:x>0.60483</cdr:x>
      <cdr:y>0.53817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1D8DF000-6E85-2475-7007-96B8CAFE97F0}"/>
            </a:ext>
          </a:extLst>
        </cdr:cNvPr>
        <cdr:cNvSpPr txBox="1"/>
      </cdr:nvSpPr>
      <cdr:spPr>
        <a:xfrm xmlns:a="http://schemas.openxmlformats.org/drawingml/2006/main">
          <a:off x="3380833" y="3389070"/>
          <a:ext cx="1468217" cy="6105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AU" sz="2800"/>
            <a:t>Baseline</a:t>
          </a:r>
          <a:endParaRPr lang="en-AU" sz="1100"/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23814</xdr:colOff>
      <xdr:row>2</xdr:row>
      <xdr:rowOff>178593</xdr:rowOff>
    </xdr:from>
    <xdr:to>
      <xdr:col>6</xdr:col>
      <xdr:colOff>486043</xdr:colOff>
      <xdr:row>15</xdr:row>
      <xdr:rowOff>100013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571499</xdr:colOff>
      <xdr:row>2</xdr:row>
      <xdr:rowOff>178593</xdr:rowOff>
    </xdr:from>
    <xdr:to>
      <xdr:col>12</xdr:col>
      <xdr:colOff>357187</xdr:colOff>
      <xdr:row>15</xdr:row>
      <xdr:rowOff>100013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4</xdr:row>
      <xdr:rowOff>0</xdr:rowOff>
    </xdr:from>
    <xdr:to>
      <xdr:col>18</xdr:col>
      <xdr:colOff>544782</xdr:colOff>
      <xdr:row>5</xdr:row>
      <xdr:rowOff>7500</xdr:rowOff>
    </xdr:to>
    <xdr:sp macro="" textlink="">
      <xdr:nvSpPr>
        <xdr:cNvPr id="8" name="Rounded Rectangl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/>
      </xdr:nvSpPr>
      <xdr:spPr>
        <a:xfrm>
          <a:off x="11072813" y="3369469"/>
          <a:ext cx="1152000" cy="19800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900"/>
            <a:t>BACK TO CONTENTS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U41"/>
  <sheetViews>
    <sheetView workbookViewId="0"/>
  </sheetViews>
  <sheetFormatPr baseColWidth="10" defaultColWidth="8.83203125" defaultRowHeight="15" x14ac:dyDescent="0.2"/>
  <cols>
    <col min="1" max="1" width="10.1640625" bestFit="1" customWidth="1"/>
    <col min="2" max="2" width="16.1640625" customWidth="1"/>
    <col min="3" max="3" width="10.1640625" customWidth="1"/>
    <col min="4" max="4" width="11.33203125" bestFit="1" customWidth="1"/>
    <col min="5" max="5" width="0.83203125" customWidth="1"/>
    <col min="6" max="6" width="14.6640625" customWidth="1"/>
    <col min="7" max="7" width="5.5" customWidth="1"/>
    <col min="8" max="8" width="11.1640625" customWidth="1"/>
    <col min="9" max="9" width="9.83203125" customWidth="1"/>
    <col min="10" max="10" width="9.5" customWidth="1"/>
    <col min="11" max="11" width="0.83203125" customWidth="1"/>
    <col min="12" max="12" width="12.5" customWidth="1"/>
    <col min="13" max="13" width="10.1640625" customWidth="1"/>
    <col min="14" max="14" width="9.1640625" customWidth="1"/>
    <col min="15" max="15" width="0.83203125" customWidth="1"/>
    <col min="16" max="16" width="12.5" customWidth="1"/>
    <col min="17" max="18" width="9.6640625" customWidth="1"/>
    <col min="19" max="19" width="0.83203125" customWidth="1"/>
    <col min="20" max="20" width="12.5" customWidth="1"/>
    <col min="21" max="21" width="9.6640625" customWidth="1"/>
    <col min="22" max="22" width="9.1640625" customWidth="1"/>
    <col min="23" max="23" width="0.83203125" customWidth="1"/>
    <col min="24" max="24" width="12.5" customWidth="1"/>
    <col min="25" max="25" width="10.5" customWidth="1"/>
    <col min="26" max="26" width="9.1640625" customWidth="1"/>
    <col min="27" max="27" width="0.83203125" customWidth="1"/>
    <col min="28" max="28" width="13.5" customWidth="1"/>
    <col min="29" max="29" width="10.1640625" customWidth="1"/>
    <col min="30" max="30" width="0.83203125" customWidth="1"/>
    <col min="31" max="31" width="12.6640625" customWidth="1"/>
    <col min="32" max="32" width="9.1640625" customWidth="1"/>
    <col min="33" max="33" width="14.83203125" customWidth="1"/>
    <col min="34" max="34" width="0.83203125" customWidth="1"/>
    <col min="35" max="36" width="9.6640625" customWidth="1"/>
    <col min="37" max="37" width="10" customWidth="1"/>
    <col min="38" max="38" width="0.83203125" customWidth="1"/>
    <col min="39" max="39" width="11.1640625" customWidth="1"/>
    <col min="40" max="41" width="10" customWidth="1"/>
    <col min="42" max="42" width="0.83203125" customWidth="1"/>
    <col min="43" max="45" width="9.6640625" customWidth="1"/>
    <col min="46" max="46" width="0.83203125" customWidth="1"/>
    <col min="47" max="48" width="12.6640625" customWidth="1"/>
    <col min="49" max="49" width="0.83203125" customWidth="1"/>
    <col min="50" max="51" width="12.6640625" customWidth="1"/>
    <col min="52" max="52" width="0.83203125" customWidth="1"/>
    <col min="53" max="54" width="12.6640625" customWidth="1"/>
    <col min="55" max="55" width="0.83203125" customWidth="1"/>
    <col min="56" max="56" width="12.5" customWidth="1"/>
    <col min="57" max="57" width="0.83203125" customWidth="1"/>
    <col min="58" max="58" width="15.6640625" customWidth="1"/>
    <col min="59" max="59" width="0.83203125" customWidth="1"/>
    <col min="60" max="60" width="12.5" customWidth="1"/>
    <col min="61" max="61" width="5.6640625" customWidth="1"/>
    <col min="63" max="63" width="5.6640625" customWidth="1"/>
    <col min="64" max="64" width="15.83203125" bestFit="1" customWidth="1"/>
    <col min="66" max="66" width="10.6640625" customWidth="1"/>
    <col min="67" max="67" width="8.5" customWidth="1"/>
    <col min="68" max="68" width="10.6640625" customWidth="1"/>
    <col min="69" max="69" width="9" customWidth="1"/>
  </cols>
  <sheetData>
    <row r="1" spans="1:73" x14ac:dyDescent="0.2">
      <c r="B1" s="252" t="s">
        <v>0</v>
      </c>
      <c r="C1" s="252"/>
      <c r="D1" s="252"/>
      <c r="E1" s="252"/>
      <c r="F1" s="252"/>
      <c r="H1" s="246" t="s">
        <v>1</v>
      </c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  <c r="AV1" s="246"/>
      <c r="AW1" s="246"/>
      <c r="AX1" s="246"/>
      <c r="AY1" s="246"/>
      <c r="AZ1" s="246"/>
      <c r="BA1" s="246"/>
      <c r="BB1" s="246"/>
      <c r="BC1" s="246"/>
      <c r="BD1" s="246"/>
      <c r="BE1" s="246"/>
      <c r="BF1" s="246"/>
      <c r="BG1" s="246"/>
      <c r="BH1" s="246"/>
      <c r="BJ1" s="13" t="s">
        <v>2</v>
      </c>
      <c r="BL1" s="17" t="s">
        <v>3</v>
      </c>
      <c r="BN1" s="251" t="s">
        <v>4</v>
      </c>
      <c r="BO1" s="251"/>
      <c r="BP1" s="251"/>
      <c r="BQ1" s="251"/>
      <c r="BS1" t="s">
        <v>5</v>
      </c>
    </row>
    <row r="2" spans="1:73" x14ac:dyDescent="0.2">
      <c r="B2" s="253" t="s">
        <v>6</v>
      </c>
      <c r="C2" s="253" t="s">
        <v>7</v>
      </c>
      <c r="D2" s="253" t="s">
        <v>8</v>
      </c>
      <c r="E2" s="3"/>
      <c r="F2" s="253" t="s">
        <v>9</v>
      </c>
      <c r="H2" s="127" t="s">
        <v>10</v>
      </c>
      <c r="I2" s="9" t="s">
        <v>10</v>
      </c>
      <c r="J2" s="9" t="s">
        <v>10</v>
      </c>
      <c r="K2" s="3"/>
      <c r="L2" s="127" t="s">
        <v>11</v>
      </c>
      <c r="M2" s="127"/>
      <c r="N2" s="127"/>
      <c r="O2" s="3"/>
      <c r="P2" s="242" t="s">
        <v>12</v>
      </c>
      <c r="Q2" s="242"/>
      <c r="R2" s="242"/>
      <c r="S2" s="3"/>
      <c r="T2" s="242" t="s">
        <v>13</v>
      </c>
      <c r="U2" s="242"/>
      <c r="V2" s="242"/>
      <c r="W2" s="3"/>
      <c r="X2" s="242" t="s">
        <v>14</v>
      </c>
      <c r="Y2" s="242"/>
      <c r="Z2" s="242"/>
      <c r="AA2" s="3"/>
      <c r="AB2" s="242" t="s">
        <v>15</v>
      </c>
      <c r="AC2" s="242"/>
      <c r="AD2" s="3"/>
      <c r="AE2" s="242" t="s">
        <v>16</v>
      </c>
      <c r="AF2" s="242"/>
      <c r="AG2" s="242"/>
      <c r="AH2" s="12"/>
      <c r="AI2" s="242" t="s">
        <v>17</v>
      </c>
      <c r="AJ2" s="242"/>
      <c r="AK2" s="242"/>
      <c r="AL2" s="3"/>
      <c r="AM2" s="242" t="s">
        <v>18</v>
      </c>
      <c r="AN2" s="242"/>
      <c r="AO2" s="242"/>
      <c r="AP2" s="3"/>
      <c r="AQ2" s="242" t="s">
        <v>19</v>
      </c>
      <c r="AR2" s="242"/>
      <c r="AS2" s="242"/>
      <c r="AT2" s="3"/>
      <c r="AU2" s="245" t="s">
        <v>20</v>
      </c>
      <c r="AV2" s="245"/>
      <c r="AW2" s="3"/>
      <c r="AX2" s="245" t="s">
        <v>21</v>
      </c>
      <c r="AY2" s="245"/>
      <c r="AZ2" s="3"/>
      <c r="BA2" s="245" t="s">
        <v>22</v>
      </c>
      <c r="BB2" s="245"/>
      <c r="BC2" s="3"/>
      <c r="BD2" s="23" t="s">
        <v>23</v>
      </c>
      <c r="BE2" s="12"/>
      <c r="BF2" s="23" t="s">
        <v>24</v>
      </c>
      <c r="BG2" s="12"/>
      <c r="BH2" s="9" t="s">
        <v>25</v>
      </c>
    </row>
    <row r="3" spans="1:73" ht="15" customHeight="1" x14ac:dyDescent="0.2">
      <c r="B3" s="253"/>
      <c r="C3" s="253"/>
      <c r="D3" s="253"/>
      <c r="E3" s="1"/>
      <c r="F3" s="253"/>
      <c r="H3" s="19" t="s">
        <v>26</v>
      </c>
      <c r="I3" s="243" t="s">
        <v>27</v>
      </c>
      <c r="J3" s="243" t="s">
        <v>28</v>
      </c>
      <c r="K3" s="10"/>
      <c r="L3" s="19" t="s">
        <v>29</v>
      </c>
      <c r="M3" s="19" t="s">
        <v>30</v>
      </c>
      <c r="N3" s="19" t="s">
        <v>28</v>
      </c>
      <c r="O3" s="10"/>
      <c r="P3" s="243" t="s">
        <v>29</v>
      </c>
      <c r="Q3" s="243" t="s">
        <v>30</v>
      </c>
      <c r="R3" s="243" t="s">
        <v>28</v>
      </c>
      <c r="S3" s="10"/>
      <c r="T3" s="243" t="s">
        <v>29</v>
      </c>
      <c r="U3" s="243" t="s">
        <v>30</v>
      </c>
      <c r="V3" s="243" t="s">
        <v>28</v>
      </c>
      <c r="W3" s="10"/>
      <c r="X3" s="243" t="s">
        <v>29</v>
      </c>
      <c r="Y3" s="243" t="s">
        <v>30</v>
      </c>
      <c r="Z3" s="243" t="s">
        <v>28</v>
      </c>
      <c r="AA3" s="10"/>
      <c r="AB3" s="244" t="s">
        <v>31</v>
      </c>
      <c r="AC3" s="243" t="s">
        <v>28</v>
      </c>
      <c r="AD3" s="10"/>
      <c r="AE3" s="248"/>
      <c r="AF3" s="249"/>
      <c r="AG3" s="250"/>
      <c r="AH3" s="11"/>
      <c r="AI3" s="241" t="s">
        <v>32</v>
      </c>
      <c r="AJ3" s="247" t="s">
        <v>33</v>
      </c>
      <c r="AK3" s="243" t="s">
        <v>28</v>
      </c>
      <c r="AL3" s="10"/>
      <c r="AM3" s="241" t="s">
        <v>34</v>
      </c>
      <c r="AN3" s="247" t="s">
        <v>33</v>
      </c>
      <c r="AO3" s="243" t="s">
        <v>28</v>
      </c>
      <c r="AP3" s="10"/>
      <c r="AQ3" s="241" t="s">
        <v>35</v>
      </c>
      <c r="AR3" s="247" t="s">
        <v>33</v>
      </c>
      <c r="AS3" s="243" t="s">
        <v>28</v>
      </c>
      <c r="AT3" s="10"/>
      <c r="AU3" s="244" t="s">
        <v>31</v>
      </c>
      <c r="AV3" s="243" t="s">
        <v>28</v>
      </c>
      <c r="AW3" s="10"/>
      <c r="AX3" s="244" t="s">
        <v>31</v>
      </c>
      <c r="AY3" s="243" t="s">
        <v>28</v>
      </c>
      <c r="AZ3" s="10"/>
      <c r="BA3" s="244" t="s">
        <v>31</v>
      </c>
      <c r="BB3" s="243" t="s">
        <v>28</v>
      </c>
      <c r="BC3" s="10"/>
      <c r="BD3" s="11"/>
      <c r="BE3" s="11"/>
      <c r="BF3" s="247" t="s">
        <v>36</v>
      </c>
      <c r="BG3" s="11"/>
      <c r="BH3" s="118" t="s">
        <v>37</v>
      </c>
      <c r="BJ3" s="241" t="s">
        <v>37</v>
      </c>
      <c r="BL3" s="241" t="s">
        <v>38</v>
      </c>
      <c r="BN3" s="10" t="s">
        <v>39</v>
      </c>
      <c r="BO3" s="10" t="s">
        <v>40</v>
      </c>
      <c r="BP3" s="10" t="s">
        <v>41</v>
      </c>
      <c r="BQ3" t="s">
        <v>10</v>
      </c>
    </row>
    <row r="4" spans="1:73" ht="16" x14ac:dyDescent="0.2">
      <c r="B4" s="253"/>
      <c r="C4" s="253"/>
      <c r="D4" s="253"/>
      <c r="E4" s="1"/>
      <c r="F4" s="253"/>
      <c r="H4" s="19"/>
      <c r="I4" s="243"/>
      <c r="J4" s="243"/>
      <c r="K4" s="10"/>
      <c r="L4" s="19"/>
      <c r="M4" s="19"/>
      <c r="N4" s="19"/>
      <c r="O4" s="10"/>
      <c r="P4" s="243"/>
      <c r="Q4" s="243"/>
      <c r="R4" s="243"/>
      <c r="S4" s="10"/>
      <c r="T4" s="243"/>
      <c r="U4" s="243"/>
      <c r="V4" s="243"/>
      <c r="W4" s="10"/>
      <c r="X4" s="243"/>
      <c r="Y4" s="243"/>
      <c r="Z4" s="243"/>
      <c r="AA4" s="10"/>
      <c r="AB4" s="244"/>
      <c r="AC4" s="243"/>
      <c r="AD4" s="10"/>
      <c r="AE4" s="18" t="s">
        <v>35</v>
      </c>
      <c r="AF4" s="18" t="s">
        <v>33</v>
      </c>
      <c r="AG4" s="19" t="s">
        <v>28</v>
      </c>
      <c r="AH4" s="11"/>
      <c r="AI4" s="241"/>
      <c r="AJ4" s="247"/>
      <c r="AK4" s="243"/>
      <c r="AL4" s="10"/>
      <c r="AM4" s="241"/>
      <c r="AN4" s="247"/>
      <c r="AO4" s="243"/>
      <c r="AP4" s="10"/>
      <c r="AQ4" s="241"/>
      <c r="AR4" s="247"/>
      <c r="AS4" s="243"/>
      <c r="AT4" s="10"/>
      <c r="AU4" s="244"/>
      <c r="AV4" s="243"/>
      <c r="AW4" s="10"/>
      <c r="AX4" s="244"/>
      <c r="AY4" s="243"/>
      <c r="AZ4" s="10"/>
      <c r="BA4" s="244"/>
      <c r="BB4" s="243"/>
      <c r="BC4" s="10"/>
      <c r="BD4" s="11" t="s">
        <v>42</v>
      </c>
      <c r="BE4" s="11"/>
      <c r="BF4" s="247"/>
      <c r="BG4" s="11"/>
      <c r="BH4" s="118"/>
      <c r="BJ4" s="241"/>
      <c r="BL4" s="241"/>
      <c r="BN4" s="249" t="s">
        <v>43</v>
      </c>
      <c r="BO4" s="249"/>
      <c r="BP4" s="249"/>
      <c r="BQ4" s="249"/>
    </row>
    <row r="5" spans="1:73" x14ac:dyDescent="0.2">
      <c r="A5">
        <v>2021</v>
      </c>
      <c r="B5" s="25">
        <v>6500</v>
      </c>
      <c r="C5" s="121">
        <f>B5/1000</f>
        <v>6.5</v>
      </c>
      <c r="D5" s="25">
        <v>2.48</v>
      </c>
      <c r="E5" s="25"/>
      <c r="F5" s="25">
        <f>+D5*B5</f>
        <v>16120</v>
      </c>
      <c r="G5" s="35"/>
      <c r="H5" s="26">
        <v>557.54999999999995</v>
      </c>
      <c r="I5" s="5">
        <v>5.44</v>
      </c>
      <c r="J5" s="30">
        <f>+H5*I5</f>
        <v>3033.0720000000001</v>
      </c>
      <c r="L5" s="16">
        <v>5</v>
      </c>
      <c r="M5" s="4">
        <v>26.64</v>
      </c>
      <c r="N5" s="6">
        <f>+L5*M5</f>
        <v>133.19999999999999</v>
      </c>
      <c r="P5" s="16">
        <v>4</v>
      </c>
      <c r="Q5" s="4">
        <v>36.46</v>
      </c>
      <c r="R5" s="6">
        <f>+P5*Q5</f>
        <v>145.84</v>
      </c>
      <c r="T5" s="16">
        <v>2</v>
      </c>
      <c r="U5" s="4">
        <v>17.05</v>
      </c>
      <c r="V5" s="21">
        <f>+T5*U5</f>
        <v>34.1</v>
      </c>
      <c r="W5" s="21"/>
      <c r="X5" s="16">
        <v>0</v>
      </c>
      <c r="Y5" s="4">
        <v>0</v>
      </c>
      <c r="Z5" s="21">
        <f>+X5*Y5</f>
        <v>0</v>
      </c>
      <c r="AB5" s="16">
        <v>3</v>
      </c>
      <c r="AC5" s="21">
        <f>+AB5*D5</f>
        <v>7.4399999999999995</v>
      </c>
      <c r="AE5" s="4">
        <f>(51.8+24.04)</f>
        <v>75.84</v>
      </c>
      <c r="AF5" s="4">
        <v>85</v>
      </c>
      <c r="AG5" s="21">
        <f>+AE5*AF5</f>
        <v>6446.4000000000005</v>
      </c>
      <c r="AI5" s="16">
        <v>14</v>
      </c>
      <c r="AJ5" s="1">
        <v>99</v>
      </c>
      <c r="AK5" s="21">
        <f>+AI5*AJ5</f>
        <v>1386</v>
      </c>
      <c r="AL5" s="21"/>
      <c r="AM5" s="16">
        <v>5</v>
      </c>
      <c r="AN5" s="1">
        <v>180</v>
      </c>
      <c r="AO5" s="21">
        <f>+AM5*AN5</f>
        <v>900</v>
      </c>
      <c r="AQ5" s="1">
        <v>0</v>
      </c>
      <c r="AR5" s="1">
        <v>0</v>
      </c>
      <c r="AS5" s="21">
        <f>+AQ5*AR5</f>
        <v>0</v>
      </c>
      <c r="AU5" s="27">
        <v>0</v>
      </c>
      <c r="AV5" s="21">
        <f t="shared" ref="AV5:AV39" si="0">+AU5*D5</f>
        <v>0</v>
      </c>
      <c r="AX5" s="27">
        <v>0</v>
      </c>
      <c r="AY5" s="21">
        <f t="shared" ref="AY5:AY39" si="1">+AX5*D5</f>
        <v>0</v>
      </c>
      <c r="BA5" s="27">
        <v>0</v>
      </c>
      <c r="BB5" s="21">
        <f t="shared" ref="BB5:BB39" si="2">+BA5*D5</f>
        <v>0</v>
      </c>
      <c r="BD5" s="45">
        <f t="shared" ref="BD5:BD39" si="3">0.016*(D5*1000)</f>
        <v>39.68</v>
      </c>
      <c r="BE5" s="6"/>
      <c r="BF5" s="21">
        <f>0.12*F5</f>
        <v>1934.3999999999999</v>
      </c>
      <c r="BH5" s="21">
        <f>+J5+N5+R5+V5+Z5+AC5+AG5+AK5+AO5+AS5+AV5+AY5+BB5+BD5+BF5</f>
        <v>14060.132</v>
      </c>
      <c r="BJ5" s="21">
        <f t="shared" ref="BJ5:BJ39" si="4">+F5-BH5</f>
        <v>2059.8680000000004</v>
      </c>
      <c r="BL5" s="163">
        <f>(J5+N5+R5+V5+Z5+AG5+AK5+AO5+AS5)/((B5-AC5-AY5))</f>
        <v>1.8603774166122455</v>
      </c>
      <c r="BN5" s="4">
        <v>128.4</v>
      </c>
      <c r="BO5" s="4">
        <v>141.80000000000001</v>
      </c>
      <c r="BP5" s="4">
        <f>+(143.56+106.94)/2</f>
        <v>125.25</v>
      </c>
      <c r="BQ5" s="4">
        <v>99.691915734713831</v>
      </c>
    </row>
    <row r="6" spans="1:73" x14ac:dyDescent="0.2">
      <c r="A6" s="8">
        <f t="shared" ref="A6:A39" si="5">+A5+1</f>
        <v>2022</v>
      </c>
      <c r="B6" s="34">
        <f t="shared" ref="B6:B39" si="6">+B5*BN6/BN5</f>
        <v>6595.1713395638626</v>
      </c>
      <c r="C6" s="122">
        <f>B6/1000</f>
        <v>6.5951713395638629</v>
      </c>
      <c r="D6" s="34">
        <f>$D$5</f>
        <v>2.48</v>
      </c>
      <c r="E6" s="34"/>
      <c r="F6" s="34">
        <f t="shared" ref="F6:F39" si="7">+D6*B6</f>
        <v>16356.024922118379</v>
      </c>
      <c r="G6" s="35"/>
      <c r="H6" s="28">
        <f>+H5</f>
        <v>557.54999999999995</v>
      </c>
      <c r="I6" s="14">
        <f t="shared" ref="I6:I39" si="8">+I5*$BQ6/$BQ5</f>
        <v>5.4103272727272715</v>
      </c>
      <c r="J6" s="31">
        <f>+H6*I6</f>
        <v>3016.5279709090901</v>
      </c>
      <c r="L6" s="15">
        <f>+L5</f>
        <v>5</v>
      </c>
      <c r="M6" s="7">
        <f t="shared" ref="M6:M39" si="9">+M5*$BQ6/$BQ5</f>
        <v>26.494690909090906</v>
      </c>
      <c r="N6" s="7">
        <f t="shared" ref="N6:N25" si="10">+L6*M6</f>
        <v>132.47345454545453</v>
      </c>
      <c r="P6" s="15">
        <f>+P5</f>
        <v>4</v>
      </c>
      <c r="Q6" s="7">
        <f t="shared" ref="Q6:Q39" si="11">+Q5*$BQ6/$BQ5</f>
        <v>36.261127272727265</v>
      </c>
      <c r="R6" s="7">
        <f t="shared" ref="R6:R39" si="12">+P6*Q6</f>
        <v>145.04450909090906</v>
      </c>
      <c r="T6" s="15">
        <f>+T5</f>
        <v>2</v>
      </c>
      <c r="U6" s="7">
        <f t="shared" ref="U6:U39" si="13">+U5*$BQ6/$BQ5</f>
        <v>16.956999999999997</v>
      </c>
      <c r="V6" s="22">
        <f t="shared" ref="V6:V25" si="14">+T6*U6</f>
        <v>33.913999999999994</v>
      </c>
      <c r="W6" s="22"/>
      <c r="X6" s="15">
        <f>+X5</f>
        <v>0</v>
      </c>
      <c r="Y6" s="7">
        <f t="shared" ref="Y6:Y39" si="15">+Y5*$BQ6/$BQ5</f>
        <v>0</v>
      </c>
      <c r="Z6" s="22">
        <f t="shared" ref="Z6:Z39" si="16">+X6*Y6</f>
        <v>0</v>
      </c>
      <c r="AB6" s="15">
        <f t="shared" ref="AB6:AB39" si="17">+AB5*(0.5*$BO6/$BO5+0.5*$BP6/$BP5)</f>
        <v>3.0960000000000001</v>
      </c>
      <c r="AC6" s="22">
        <f>+AB6*D6</f>
        <v>7.6780800000000005</v>
      </c>
      <c r="AE6" s="7">
        <f>+AE5</f>
        <v>75.84</v>
      </c>
      <c r="AF6" s="7">
        <f t="shared" ref="AF6:AF39" si="18">+AF5*(0.5*$BO6/$BO5+0.5*$BP6/$BP5)</f>
        <v>87.72</v>
      </c>
      <c r="AG6" s="22">
        <f>+AE6*AF6</f>
        <v>6652.6848</v>
      </c>
      <c r="AI6" s="15">
        <f>+AI5</f>
        <v>14</v>
      </c>
      <c r="AJ6" s="7">
        <f t="shared" ref="AJ6:AJ39" si="19">+AJ5*$BN6/$BN5</f>
        <v>100.44953271028037</v>
      </c>
      <c r="AK6" s="22">
        <f t="shared" ref="AK6:AK39" si="20">+AI6*AJ6</f>
        <v>1406.2934579439252</v>
      </c>
      <c r="AL6" s="22"/>
      <c r="AM6" s="15">
        <f>+AM5</f>
        <v>5</v>
      </c>
      <c r="AN6" s="7">
        <f>AN5*BN6/BN5</f>
        <v>182.63551401869159</v>
      </c>
      <c r="AO6" s="22">
        <f t="shared" ref="AO6:AO39" si="21">+AM6*AN6</f>
        <v>913.17757009345792</v>
      </c>
      <c r="AQ6" s="7">
        <f>+AQ5</f>
        <v>0</v>
      </c>
      <c r="AR6" s="7">
        <f t="shared" ref="AR6:AR39" si="22">+AR5*$BO6/$BO5</f>
        <v>0</v>
      </c>
      <c r="AS6" s="22">
        <f>+AQ6*AR6</f>
        <v>0</v>
      </c>
      <c r="AU6" s="34">
        <f t="shared" ref="AU6:AU39" si="23">+AU5*$BN6/$BN5</f>
        <v>0</v>
      </c>
      <c r="AV6" s="22">
        <f t="shared" si="0"/>
        <v>0</v>
      </c>
      <c r="AX6" s="34">
        <f t="shared" ref="AX6:AX39" si="24">+AX5*$BN6/$BN5</f>
        <v>0</v>
      </c>
      <c r="AY6" s="22">
        <f t="shared" si="1"/>
        <v>0</v>
      </c>
      <c r="BA6" s="34">
        <f t="shared" ref="BA6:BA39" si="25">+BA5*$BN6/$BN5</f>
        <v>0</v>
      </c>
      <c r="BB6" s="22">
        <f t="shared" si="2"/>
        <v>0</v>
      </c>
      <c r="BD6" s="22">
        <f t="shared" si="3"/>
        <v>39.68</v>
      </c>
      <c r="BE6" s="7"/>
      <c r="BF6" s="22">
        <f>0.12*F6</f>
        <v>1962.7229906542054</v>
      </c>
      <c r="BH6" s="22">
        <f>+J6+N6+R6+V6+Z6+AC6+AG6+AK6+AO6+AS6+AV6+AY6+BB6+BD6+BF6</f>
        <v>14310.196833237043</v>
      </c>
      <c r="BJ6" s="22">
        <f t="shared" si="4"/>
        <v>2045.8280888813351</v>
      </c>
      <c r="BL6" s="163">
        <f t="shared" ref="BL6:BL39" si="26">(J6+N6+R6+V6+Z6+AG6+AK6+AO6+AS6)/((B6-AC6-AY6))</f>
        <v>1.8671921591305261</v>
      </c>
      <c r="BN6" s="7">
        <v>130.28</v>
      </c>
      <c r="BO6" s="7">
        <f>+BO5+(BO5*0.032)</f>
        <v>146.33760000000001</v>
      </c>
      <c r="BP6" s="7">
        <f>+BP5+(BP5*0.032)</f>
        <v>129.25800000000001</v>
      </c>
      <c r="BQ6" s="7">
        <v>99.1481416488881</v>
      </c>
    </row>
    <row r="7" spans="1:73" x14ac:dyDescent="0.2">
      <c r="A7" s="8">
        <f t="shared" si="5"/>
        <v>2023</v>
      </c>
      <c r="B7" s="34">
        <f t="shared" si="6"/>
        <v>6826.0124610591902</v>
      </c>
      <c r="C7" s="122">
        <f>B7/1000</f>
        <v>6.8260124610591904</v>
      </c>
      <c r="D7" s="34">
        <f t="shared" ref="D7:D39" si="27">$D$5</f>
        <v>2.48</v>
      </c>
      <c r="E7" s="34"/>
      <c r="F7" s="34">
        <f t="shared" si="7"/>
        <v>16928.510903426792</v>
      </c>
      <c r="G7" s="35"/>
      <c r="H7" s="28">
        <f t="shared" ref="H7:H39" si="28">+H6</f>
        <v>557.54999999999995</v>
      </c>
      <c r="I7" s="14">
        <f t="shared" si="8"/>
        <v>5.4704027709909537</v>
      </c>
      <c r="J7" s="31">
        <f t="shared" ref="J7:J25" si="29">+H7*I7</f>
        <v>3050.0230649660061</v>
      </c>
      <c r="L7" s="15">
        <f t="shared" ref="L7:L39" si="30">+L6</f>
        <v>5</v>
      </c>
      <c r="M7" s="7">
        <f t="shared" si="9"/>
        <v>26.788884157940998</v>
      </c>
      <c r="N7" s="7">
        <f t="shared" si="10"/>
        <v>133.94442078970499</v>
      </c>
      <c r="P7" s="15">
        <f t="shared" ref="P7:P39" si="31">+P6</f>
        <v>4</v>
      </c>
      <c r="Q7" s="7">
        <f t="shared" si="11"/>
        <v>36.663765630575398</v>
      </c>
      <c r="R7" s="7">
        <f t="shared" si="12"/>
        <v>146.65506252230159</v>
      </c>
      <c r="T7" s="15">
        <f t="shared" ref="T7:T39" si="32">+T6</f>
        <v>2</v>
      </c>
      <c r="U7" s="7">
        <f t="shared" si="13"/>
        <v>17.145288096580106</v>
      </c>
      <c r="V7" s="22">
        <f t="shared" si="14"/>
        <v>34.290576193160213</v>
      </c>
      <c r="W7" s="22"/>
      <c r="X7" s="15">
        <f t="shared" ref="X7:X39" si="33">+X6</f>
        <v>0</v>
      </c>
      <c r="Y7" s="7">
        <f t="shared" si="15"/>
        <v>0</v>
      </c>
      <c r="Z7" s="22">
        <f t="shared" si="16"/>
        <v>0</v>
      </c>
      <c r="AB7" s="15">
        <f t="shared" si="17"/>
        <v>3.1950720000000001</v>
      </c>
      <c r="AC7" s="22">
        <f t="shared" ref="AC7:AC39" si="34">+AB7*D7</f>
        <v>7.9237785600000006</v>
      </c>
      <c r="AE7" s="7">
        <f t="shared" ref="AE7:AE39" si="35">+AE6</f>
        <v>75.84</v>
      </c>
      <c r="AF7" s="7">
        <f t="shared" si="18"/>
        <v>90.52704</v>
      </c>
      <c r="AG7" s="22">
        <f>+AE7*AF7</f>
        <v>6865.5707136000001</v>
      </c>
      <c r="AI7" s="15">
        <f t="shared" ref="AI7:AI39" si="36">+AI6</f>
        <v>14</v>
      </c>
      <c r="AJ7" s="7">
        <f t="shared" si="19"/>
        <v>103.96542056074766</v>
      </c>
      <c r="AK7" s="22">
        <f t="shared" si="20"/>
        <v>1455.5158878504672</v>
      </c>
      <c r="AL7" s="22"/>
      <c r="AM7" s="15">
        <f t="shared" ref="AM7:AM39" si="37">+AM6</f>
        <v>5</v>
      </c>
      <c r="AN7" s="7">
        <f t="shared" ref="AN7:AN39" si="38">+AN6*$BN7/$BN6</f>
        <v>189.02803738317758</v>
      </c>
      <c r="AO7" s="22">
        <f t="shared" si="21"/>
        <v>945.14018691588785</v>
      </c>
      <c r="AQ7" s="7">
        <f t="shared" ref="AQ7:AQ39" si="39">+AQ6</f>
        <v>0</v>
      </c>
      <c r="AR7" s="7">
        <f t="shared" si="22"/>
        <v>0</v>
      </c>
      <c r="AS7" s="22">
        <f t="shared" ref="AS7:AS39" si="40">+AQ7*AR7</f>
        <v>0</v>
      </c>
      <c r="AU7" s="34">
        <f t="shared" si="23"/>
        <v>0</v>
      </c>
      <c r="AV7" s="22">
        <f t="shared" si="0"/>
        <v>0</v>
      </c>
      <c r="AX7" s="34">
        <f t="shared" si="24"/>
        <v>0</v>
      </c>
      <c r="AY7" s="22">
        <f t="shared" si="1"/>
        <v>0</v>
      </c>
      <c r="BA7" s="34">
        <f t="shared" si="25"/>
        <v>0</v>
      </c>
      <c r="BB7" s="22">
        <f t="shared" si="2"/>
        <v>0</v>
      </c>
      <c r="BD7" s="22">
        <f t="shared" si="3"/>
        <v>39.68</v>
      </c>
      <c r="BE7" s="7"/>
      <c r="BF7" s="22">
        <f t="shared" ref="BF7:BF39" si="41">0.12*F7</f>
        <v>2031.421308411215</v>
      </c>
      <c r="BH7" s="22">
        <f t="shared" ref="BH7:BH39" si="42">+J7+N7+R7+V7+Z7+AC7+AG7+AK7+AO7+AS7+AV7+AY7+BB7+BD7+BF7</f>
        <v>14710.164999808743</v>
      </c>
      <c r="BJ7" s="22">
        <f t="shared" si="4"/>
        <v>2218.3459036180484</v>
      </c>
      <c r="BL7" s="163">
        <f t="shared" si="26"/>
        <v>1.8525924934445919</v>
      </c>
      <c r="BN7" s="7">
        <v>134.84</v>
      </c>
      <c r="BO7" s="7">
        <f t="shared" ref="BO7:BO39" si="43">+BO6+(BO6*0.032)</f>
        <v>151.0204032</v>
      </c>
      <c r="BP7" s="7">
        <f t="shared" ref="BP7:BP39" si="44">+BP6+(BP6*0.032)</f>
        <v>133.39425600000001</v>
      </c>
      <c r="BQ7" s="7">
        <v>100.24906839716456</v>
      </c>
    </row>
    <row r="8" spans="1:73" x14ac:dyDescent="0.2">
      <c r="A8" s="8">
        <f t="shared" si="5"/>
        <v>2024</v>
      </c>
      <c r="B8" s="34">
        <f t="shared" si="6"/>
        <v>6996.6121495327106</v>
      </c>
      <c r="C8" s="122">
        <f t="shared" ref="C8:C39" si="45">B8/1000</f>
        <v>6.9966121495327105</v>
      </c>
      <c r="D8" s="34">
        <f t="shared" si="27"/>
        <v>2.48</v>
      </c>
      <c r="E8" s="34"/>
      <c r="F8" s="34">
        <f t="shared" si="7"/>
        <v>17351.598130841121</v>
      </c>
      <c r="G8" s="35"/>
      <c r="H8" s="28">
        <f t="shared" si="28"/>
        <v>557.54999999999995</v>
      </c>
      <c r="I8" s="14">
        <f t="shared" si="8"/>
        <v>5.634273090541229</v>
      </c>
      <c r="J8" s="31">
        <f t="shared" si="29"/>
        <v>3141.3889616312622</v>
      </c>
      <c r="L8" s="15">
        <f t="shared" si="30"/>
        <v>5</v>
      </c>
      <c r="M8" s="7">
        <f t="shared" si="9"/>
        <v>27.591366752209257</v>
      </c>
      <c r="N8" s="7">
        <f t="shared" si="10"/>
        <v>137.95683376104628</v>
      </c>
      <c r="P8" s="15">
        <f t="shared" si="31"/>
        <v>4</v>
      </c>
      <c r="Q8" s="7">
        <f t="shared" si="11"/>
        <v>37.762058250208312</v>
      </c>
      <c r="R8" s="7">
        <f t="shared" si="12"/>
        <v>151.04823300083325</v>
      </c>
      <c r="T8" s="15">
        <f t="shared" si="32"/>
        <v>2</v>
      </c>
      <c r="U8" s="7">
        <f t="shared" si="13"/>
        <v>17.658889006199995</v>
      </c>
      <c r="V8" s="22">
        <f t="shared" si="14"/>
        <v>35.317778012399991</v>
      </c>
      <c r="W8" s="22"/>
      <c r="X8" s="15">
        <f t="shared" si="33"/>
        <v>0</v>
      </c>
      <c r="Y8" s="7">
        <f t="shared" si="15"/>
        <v>0</v>
      </c>
      <c r="Z8" s="22">
        <f t="shared" si="16"/>
        <v>0</v>
      </c>
      <c r="AB8" s="15">
        <f t="shared" si="17"/>
        <v>3.2973143040000004</v>
      </c>
      <c r="AC8" s="22">
        <f>+AB8*D8</f>
        <v>8.17733947392</v>
      </c>
      <c r="AE8" s="7">
        <f t="shared" si="35"/>
        <v>75.84</v>
      </c>
      <c r="AF8" s="7">
        <f t="shared" si="18"/>
        <v>93.42390528</v>
      </c>
      <c r="AG8" s="22">
        <f t="shared" ref="AG8:AG39" si="46">+AE8*AF8</f>
        <v>7085.2689764351999</v>
      </c>
      <c r="AI8" s="15">
        <f t="shared" si="36"/>
        <v>14</v>
      </c>
      <c r="AJ8" s="7">
        <f t="shared" si="19"/>
        <v>106.56378504672897</v>
      </c>
      <c r="AK8" s="22">
        <f t="shared" si="20"/>
        <v>1491.8929906542055</v>
      </c>
      <c r="AL8" s="22"/>
      <c r="AM8" s="15">
        <f t="shared" si="37"/>
        <v>5</v>
      </c>
      <c r="AN8" s="7">
        <f t="shared" si="38"/>
        <v>193.75233644859813</v>
      </c>
      <c r="AO8" s="22">
        <f t="shared" si="21"/>
        <v>968.76168224299067</v>
      </c>
      <c r="AQ8" s="7">
        <f t="shared" si="39"/>
        <v>0</v>
      </c>
      <c r="AR8" s="7">
        <f t="shared" si="22"/>
        <v>0</v>
      </c>
      <c r="AS8" s="22">
        <f t="shared" si="40"/>
        <v>0</v>
      </c>
      <c r="AU8" s="34">
        <f t="shared" si="23"/>
        <v>0</v>
      </c>
      <c r="AV8" s="22">
        <f t="shared" si="0"/>
        <v>0</v>
      </c>
      <c r="AX8" s="34">
        <f t="shared" si="24"/>
        <v>0</v>
      </c>
      <c r="AY8" s="22">
        <f t="shared" si="1"/>
        <v>0</v>
      </c>
      <c r="BA8" s="34">
        <f t="shared" si="25"/>
        <v>0</v>
      </c>
      <c r="BB8" s="22">
        <f t="shared" si="2"/>
        <v>0</v>
      </c>
      <c r="BD8" s="22">
        <f t="shared" si="3"/>
        <v>39.68</v>
      </c>
      <c r="BE8" s="7"/>
      <c r="BF8" s="22">
        <f t="shared" si="41"/>
        <v>2082.1917757009346</v>
      </c>
      <c r="BH8" s="22">
        <f t="shared" si="42"/>
        <v>15141.68457091279</v>
      </c>
      <c r="BJ8" s="22">
        <f t="shared" si="4"/>
        <v>2209.9135599283309</v>
      </c>
      <c r="BL8" s="163">
        <f t="shared" si="26"/>
        <v>1.8618812093674628</v>
      </c>
      <c r="BN8" s="7">
        <v>138.21</v>
      </c>
      <c r="BO8" s="7">
        <f t="shared" si="43"/>
        <v>155.85305610240002</v>
      </c>
      <c r="BP8" s="7">
        <f t="shared" si="44"/>
        <v>137.66287219200001</v>
      </c>
      <c r="BQ8" s="7">
        <v>103.25210995746359</v>
      </c>
      <c r="BU8" t="s">
        <v>44</v>
      </c>
    </row>
    <row r="9" spans="1:73" x14ac:dyDescent="0.2">
      <c r="A9" s="8">
        <f t="shared" si="5"/>
        <v>2025</v>
      </c>
      <c r="B9" s="34">
        <f t="shared" si="6"/>
        <v>7220.5037383177578</v>
      </c>
      <c r="C9" s="122">
        <f t="shared" si="45"/>
        <v>7.2205037383177579</v>
      </c>
      <c r="D9" s="34">
        <f t="shared" si="27"/>
        <v>2.48</v>
      </c>
      <c r="E9" s="34"/>
      <c r="F9" s="34">
        <f t="shared" si="7"/>
        <v>17906.849271028041</v>
      </c>
      <c r="G9" s="35"/>
      <c r="H9" s="28">
        <f t="shared" si="28"/>
        <v>557.54999999999995</v>
      </c>
      <c r="I9" s="14">
        <f t="shared" si="8"/>
        <v>5.7759773931594935</v>
      </c>
      <c r="J9" s="31">
        <f t="shared" si="29"/>
        <v>3220.3961955560753</v>
      </c>
      <c r="L9" s="15">
        <f t="shared" si="30"/>
        <v>5</v>
      </c>
      <c r="M9" s="7">
        <f t="shared" si="9"/>
        <v>28.285301057678112</v>
      </c>
      <c r="N9" s="7">
        <f t="shared" si="10"/>
        <v>141.42650528839056</v>
      </c>
      <c r="P9" s="15">
        <f t="shared" si="31"/>
        <v>4</v>
      </c>
      <c r="Q9" s="7">
        <f t="shared" si="11"/>
        <v>38.711789660771167</v>
      </c>
      <c r="R9" s="7">
        <f t="shared" si="12"/>
        <v>154.84715864308467</v>
      </c>
      <c r="T9" s="15">
        <f t="shared" si="32"/>
        <v>2</v>
      </c>
      <c r="U9" s="7">
        <f t="shared" si="13"/>
        <v>18.103017381134077</v>
      </c>
      <c r="V9" s="22">
        <f t="shared" si="14"/>
        <v>36.206034762268153</v>
      </c>
      <c r="W9" s="22"/>
      <c r="X9" s="15">
        <f t="shared" si="33"/>
        <v>0</v>
      </c>
      <c r="Y9" s="7">
        <f t="shared" si="15"/>
        <v>0</v>
      </c>
      <c r="Z9" s="22">
        <f t="shared" si="16"/>
        <v>0</v>
      </c>
      <c r="AB9" s="15">
        <f t="shared" si="17"/>
        <v>3.4028283617280004</v>
      </c>
      <c r="AC9" s="22">
        <f t="shared" si="34"/>
        <v>8.4390143370854407</v>
      </c>
      <c r="AE9" s="7">
        <f t="shared" si="35"/>
        <v>75.84</v>
      </c>
      <c r="AF9" s="7">
        <f t="shared" si="18"/>
        <v>96.413470248959996</v>
      </c>
      <c r="AG9" s="22">
        <f t="shared" si="46"/>
        <v>7311.9975836811263</v>
      </c>
      <c r="AI9" s="15">
        <f t="shared" si="36"/>
        <v>14</v>
      </c>
      <c r="AJ9" s="7">
        <f t="shared" si="19"/>
        <v>109.97382616822429</v>
      </c>
      <c r="AK9" s="22">
        <f t="shared" si="20"/>
        <v>1539.6335663551401</v>
      </c>
      <c r="AL9" s="22"/>
      <c r="AM9" s="15">
        <f t="shared" si="37"/>
        <v>5</v>
      </c>
      <c r="AN9" s="7">
        <f t="shared" si="38"/>
        <v>199.95241121495326</v>
      </c>
      <c r="AO9" s="22">
        <f t="shared" si="21"/>
        <v>999.76205607476629</v>
      </c>
      <c r="AQ9" s="7">
        <f t="shared" si="39"/>
        <v>0</v>
      </c>
      <c r="AR9" s="7">
        <f t="shared" si="22"/>
        <v>0</v>
      </c>
      <c r="AS9" s="22">
        <f t="shared" si="40"/>
        <v>0</v>
      </c>
      <c r="AU9" s="34">
        <f t="shared" si="23"/>
        <v>0</v>
      </c>
      <c r="AV9" s="22">
        <f t="shared" si="0"/>
        <v>0</v>
      </c>
      <c r="AX9" s="34">
        <f t="shared" si="24"/>
        <v>0</v>
      </c>
      <c r="AY9" s="22">
        <f t="shared" si="1"/>
        <v>0</v>
      </c>
      <c r="BA9" s="34">
        <f t="shared" si="25"/>
        <v>0</v>
      </c>
      <c r="BB9" s="22">
        <f t="shared" si="2"/>
        <v>0</v>
      </c>
      <c r="BD9" s="22">
        <f t="shared" si="3"/>
        <v>39.68</v>
      </c>
      <c r="BE9" s="7"/>
      <c r="BF9" s="22">
        <f t="shared" si="41"/>
        <v>2148.821912523365</v>
      </c>
      <c r="BH9" s="22">
        <f t="shared" si="42"/>
        <v>15601.210027221301</v>
      </c>
      <c r="BJ9" s="22">
        <f t="shared" si="4"/>
        <v>2305.6392438067396</v>
      </c>
      <c r="BL9" s="163">
        <f t="shared" si="26"/>
        <v>1.858589684558795</v>
      </c>
      <c r="BN9" s="7">
        <f t="shared" ref="BN9:BN39" si="47">+BN8+(BN8*0.032)</f>
        <v>142.63272000000001</v>
      </c>
      <c r="BO9" s="7">
        <f t="shared" si="43"/>
        <v>160.84035389767681</v>
      </c>
      <c r="BP9" s="7">
        <f t="shared" si="44"/>
        <v>142.06808410214401</v>
      </c>
      <c r="BQ9" s="7">
        <v>105.84894330229197</v>
      </c>
    </row>
    <row r="10" spans="1:73" x14ac:dyDescent="0.2">
      <c r="A10" s="8">
        <f t="shared" si="5"/>
        <v>2026</v>
      </c>
      <c r="B10" s="34">
        <f t="shared" si="6"/>
        <v>7451.5598579439265</v>
      </c>
      <c r="C10" s="122">
        <f t="shared" si="45"/>
        <v>7.4515598579439262</v>
      </c>
      <c r="D10" s="34">
        <f t="shared" si="27"/>
        <v>2.48</v>
      </c>
      <c r="E10" s="34"/>
      <c r="F10" s="34">
        <f t="shared" si="7"/>
        <v>18479.868447700937</v>
      </c>
      <c r="G10" s="35"/>
      <c r="H10" s="28">
        <f t="shared" si="28"/>
        <v>557.54999999999995</v>
      </c>
      <c r="I10" s="14">
        <f t="shared" si="8"/>
        <v>6.0188641525638005</v>
      </c>
      <c r="J10" s="31">
        <f t="shared" si="29"/>
        <v>3355.8177082619468</v>
      </c>
      <c r="L10" s="15">
        <f t="shared" si="30"/>
        <v>5</v>
      </c>
      <c r="M10" s="7">
        <f t="shared" si="9"/>
        <v>29.474731805937438</v>
      </c>
      <c r="N10" s="7">
        <f t="shared" si="10"/>
        <v>147.37365902968719</v>
      </c>
      <c r="P10" s="15">
        <f t="shared" si="31"/>
        <v>4</v>
      </c>
      <c r="Q10" s="7">
        <f t="shared" si="11"/>
        <v>40.339666728396352</v>
      </c>
      <c r="R10" s="7">
        <f t="shared" si="12"/>
        <v>161.35866691358541</v>
      </c>
      <c r="T10" s="15">
        <f t="shared" si="32"/>
        <v>2</v>
      </c>
      <c r="U10" s="7">
        <f t="shared" si="13"/>
        <v>18.864270919340591</v>
      </c>
      <c r="V10" s="22">
        <f t="shared" si="14"/>
        <v>37.728541838681181</v>
      </c>
      <c r="W10" s="22"/>
      <c r="X10" s="15">
        <f t="shared" si="33"/>
        <v>0</v>
      </c>
      <c r="Y10" s="7">
        <f t="shared" si="15"/>
        <v>0</v>
      </c>
      <c r="Z10" s="22">
        <f t="shared" si="16"/>
        <v>0</v>
      </c>
      <c r="AB10" s="15">
        <f t="shared" si="17"/>
        <v>3.5117188693032966</v>
      </c>
      <c r="AC10" s="22">
        <f>+AB10*D10</f>
        <v>8.7090627958721747</v>
      </c>
      <c r="AE10" s="7">
        <f t="shared" si="35"/>
        <v>75.84</v>
      </c>
      <c r="AF10" s="7">
        <f t="shared" si="18"/>
        <v>99.498701296926725</v>
      </c>
      <c r="AG10" s="22">
        <f t="shared" si="46"/>
        <v>7545.9815063589231</v>
      </c>
      <c r="AI10" s="15">
        <f t="shared" si="36"/>
        <v>14</v>
      </c>
      <c r="AJ10" s="7">
        <f t="shared" si="19"/>
        <v>113.49298860560747</v>
      </c>
      <c r="AK10" s="22">
        <f t="shared" si="20"/>
        <v>1588.9018404785045</v>
      </c>
      <c r="AL10" s="22"/>
      <c r="AM10" s="15">
        <f t="shared" si="37"/>
        <v>5</v>
      </c>
      <c r="AN10" s="7">
        <f t="shared" si="38"/>
        <v>206.35088837383174</v>
      </c>
      <c r="AO10" s="22">
        <f t="shared" si="21"/>
        <v>1031.7544418691587</v>
      </c>
      <c r="AQ10" s="7">
        <f t="shared" si="39"/>
        <v>0</v>
      </c>
      <c r="AR10" s="7">
        <f t="shared" si="22"/>
        <v>0</v>
      </c>
      <c r="AS10" s="22">
        <f t="shared" si="40"/>
        <v>0</v>
      </c>
      <c r="AU10" s="34">
        <f t="shared" si="23"/>
        <v>0</v>
      </c>
      <c r="AV10" s="22">
        <f t="shared" si="0"/>
        <v>0</v>
      </c>
      <c r="AX10" s="34">
        <f t="shared" si="24"/>
        <v>0</v>
      </c>
      <c r="AY10" s="22">
        <f t="shared" si="1"/>
        <v>0</v>
      </c>
      <c r="BA10" s="34">
        <f t="shared" si="25"/>
        <v>0</v>
      </c>
      <c r="BB10" s="22">
        <f t="shared" si="2"/>
        <v>0</v>
      </c>
      <c r="BD10" s="22">
        <f t="shared" si="3"/>
        <v>39.68</v>
      </c>
      <c r="BE10" s="7"/>
      <c r="BF10" s="22">
        <f t="shared" si="41"/>
        <v>2217.5842137241125</v>
      </c>
      <c r="BH10" s="22">
        <f t="shared" si="42"/>
        <v>16134.889641270471</v>
      </c>
      <c r="BJ10" s="22">
        <f t="shared" si="4"/>
        <v>2344.9788064304666</v>
      </c>
      <c r="BL10" s="163">
        <f t="shared" si="26"/>
        <v>1.8633876650854726</v>
      </c>
      <c r="BN10" s="7">
        <f t="shared" si="47"/>
        <v>147.19696704</v>
      </c>
      <c r="BO10" s="7">
        <f t="shared" si="43"/>
        <v>165.98724522240246</v>
      </c>
      <c r="BP10" s="7">
        <f t="shared" si="44"/>
        <v>146.61426279341262</v>
      </c>
      <c r="BQ10" s="7">
        <v>110.30001799927945</v>
      </c>
    </row>
    <row r="11" spans="1:73" x14ac:dyDescent="0.2">
      <c r="A11" s="8">
        <f t="shared" si="5"/>
        <v>2027</v>
      </c>
      <c r="B11" s="34">
        <f t="shared" si="6"/>
        <v>7690.009773398132</v>
      </c>
      <c r="C11" s="122">
        <f t="shared" si="45"/>
        <v>7.6900097733981321</v>
      </c>
      <c r="D11" s="34">
        <f t="shared" si="27"/>
        <v>2.48</v>
      </c>
      <c r="E11" s="34"/>
      <c r="F11" s="34">
        <f t="shared" si="7"/>
        <v>19071.224238027367</v>
      </c>
      <c r="G11" s="35"/>
      <c r="H11" s="28">
        <f t="shared" si="28"/>
        <v>557.54999999999995</v>
      </c>
      <c r="I11" s="14">
        <f t="shared" si="8"/>
        <v>6.2719095825051818</v>
      </c>
      <c r="J11" s="31">
        <f t="shared" si="29"/>
        <v>3496.9031877257639</v>
      </c>
      <c r="L11" s="15">
        <f t="shared" si="30"/>
        <v>5</v>
      </c>
      <c r="M11" s="7">
        <f t="shared" si="9"/>
        <v>30.713910161385677</v>
      </c>
      <c r="N11" s="7">
        <f t="shared" si="10"/>
        <v>153.56955080692839</v>
      </c>
      <c r="P11" s="15">
        <f t="shared" si="31"/>
        <v>4</v>
      </c>
      <c r="Q11" s="7">
        <f t="shared" si="11"/>
        <v>42.035629297452012</v>
      </c>
      <c r="R11" s="7">
        <f t="shared" si="12"/>
        <v>168.14251718980805</v>
      </c>
      <c r="T11" s="15">
        <f t="shared" si="32"/>
        <v>2</v>
      </c>
      <c r="U11" s="7">
        <f t="shared" si="13"/>
        <v>19.657363673109074</v>
      </c>
      <c r="V11" s="22">
        <f t="shared" si="14"/>
        <v>39.314727346218149</v>
      </c>
      <c r="W11" s="22"/>
      <c r="X11" s="15">
        <f t="shared" si="33"/>
        <v>0</v>
      </c>
      <c r="Y11" s="7">
        <f t="shared" si="15"/>
        <v>0</v>
      </c>
      <c r="Z11" s="22">
        <f t="shared" si="16"/>
        <v>0</v>
      </c>
      <c r="AB11" s="15">
        <f t="shared" si="17"/>
        <v>3.624093873121002</v>
      </c>
      <c r="AC11" s="22">
        <f t="shared" si="34"/>
        <v>8.9877528053400848</v>
      </c>
      <c r="AE11" s="7">
        <f t="shared" si="35"/>
        <v>75.84</v>
      </c>
      <c r="AF11" s="7">
        <f t="shared" si="18"/>
        <v>102.68265973842838</v>
      </c>
      <c r="AG11" s="22">
        <f t="shared" si="46"/>
        <v>7787.4529145624092</v>
      </c>
      <c r="AI11" s="15">
        <f t="shared" si="36"/>
        <v>14</v>
      </c>
      <c r="AJ11" s="7">
        <f t="shared" si="19"/>
        <v>117.12476424098692</v>
      </c>
      <c r="AK11" s="22">
        <f t="shared" si="20"/>
        <v>1639.7466993738169</v>
      </c>
      <c r="AL11" s="22"/>
      <c r="AM11" s="15">
        <f t="shared" si="37"/>
        <v>5</v>
      </c>
      <c r="AN11" s="7">
        <f t="shared" si="38"/>
        <v>212.95411680179436</v>
      </c>
      <c r="AO11" s="22">
        <f t="shared" si="21"/>
        <v>1064.7705840089718</v>
      </c>
      <c r="AQ11" s="7">
        <f t="shared" si="39"/>
        <v>0</v>
      </c>
      <c r="AR11" s="7">
        <f t="shared" si="22"/>
        <v>0</v>
      </c>
      <c r="AS11" s="22">
        <f t="shared" si="40"/>
        <v>0</v>
      </c>
      <c r="AU11" s="34">
        <f t="shared" si="23"/>
        <v>0</v>
      </c>
      <c r="AV11" s="22">
        <f>+AU11*D11</f>
        <v>0</v>
      </c>
      <c r="AX11" s="34">
        <f t="shared" si="24"/>
        <v>0</v>
      </c>
      <c r="AY11" s="22">
        <f t="shared" si="1"/>
        <v>0</v>
      </c>
      <c r="BA11" s="34">
        <f t="shared" si="25"/>
        <v>0</v>
      </c>
      <c r="BB11" s="22">
        <f t="shared" si="2"/>
        <v>0</v>
      </c>
      <c r="BD11" s="22">
        <f t="shared" si="3"/>
        <v>39.68</v>
      </c>
      <c r="BE11" s="7"/>
      <c r="BF11" s="22">
        <f t="shared" si="41"/>
        <v>2288.546908563284</v>
      </c>
      <c r="BH11" s="22">
        <f t="shared" si="42"/>
        <v>16687.11484238254</v>
      </c>
      <c r="BJ11" s="22">
        <f t="shared" si="4"/>
        <v>2384.1093956448276</v>
      </c>
      <c r="BL11" s="163">
        <f t="shared" si="26"/>
        <v>1.8682279705151066</v>
      </c>
      <c r="BN11" s="7">
        <f t="shared" si="47"/>
        <v>151.90726998528001</v>
      </c>
      <c r="BO11" s="7">
        <f t="shared" si="43"/>
        <v>171.29883706951935</v>
      </c>
      <c r="BP11" s="7">
        <f t="shared" si="44"/>
        <v>151.30591920280182</v>
      </c>
      <c r="BQ11" s="7">
        <v>114.93725764611229</v>
      </c>
    </row>
    <row r="12" spans="1:73" x14ac:dyDescent="0.2">
      <c r="A12" s="8">
        <f t="shared" si="5"/>
        <v>2028</v>
      </c>
      <c r="B12" s="34">
        <f t="shared" si="6"/>
        <v>7936.0900861468717</v>
      </c>
      <c r="C12" s="122">
        <f t="shared" si="45"/>
        <v>7.9360900861468719</v>
      </c>
      <c r="D12" s="34">
        <f t="shared" si="27"/>
        <v>2.48</v>
      </c>
      <c r="E12" s="34"/>
      <c r="F12" s="34">
        <f t="shared" si="7"/>
        <v>19681.503413644241</v>
      </c>
      <c r="G12" s="35"/>
      <c r="H12" s="28">
        <f t="shared" si="28"/>
        <v>557.54999999999995</v>
      </c>
      <c r="I12" s="14">
        <f t="shared" si="8"/>
        <v>6.5130820448388329</v>
      </c>
      <c r="J12" s="31">
        <f t="shared" si="29"/>
        <v>3631.3688940998909</v>
      </c>
      <c r="L12" s="15">
        <f t="shared" si="30"/>
        <v>5</v>
      </c>
      <c r="M12" s="7">
        <f t="shared" si="9"/>
        <v>31.894945896048991</v>
      </c>
      <c r="N12" s="7">
        <f t="shared" si="10"/>
        <v>159.47472948024495</v>
      </c>
      <c r="P12" s="15">
        <f t="shared" si="31"/>
        <v>4</v>
      </c>
      <c r="Q12" s="7">
        <f t="shared" si="11"/>
        <v>43.652016793166148</v>
      </c>
      <c r="R12" s="7">
        <f t="shared" si="12"/>
        <v>174.60806717266459</v>
      </c>
      <c r="T12" s="15">
        <f t="shared" si="32"/>
        <v>2</v>
      </c>
      <c r="U12" s="7">
        <f t="shared" si="13"/>
        <v>20.413244276562889</v>
      </c>
      <c r="V12" s="22">
        <f t="shared" si="14"/>
        <v>40.826488553125778</v>
      </c>
      <c r="W12" s="22"/>
      <c r="X12" s="15">
        <f t="shared" si="33"/>
        <v>0</v>
      </c>
      <c r="Y12" s="7">
        <f t="shared" si="15"/>
        <v>0</v>
      </c>
      <c r="Z12" s="22">
        <f t="shared" si="16"/>
        <v>0</v>
      </c>
      <c r="AB12" s="15">
        <f t="shared" si="17"/>
        <v>3.740064877060874</v>
      </c>
      <c r="AC12" s="22">
        <f t="shared" si="34"/>
        <v>9.2753608951109676</v>
      </c>
      <c r="AE12" s="7">
        <f t="shared" si="35"/>
        <v>75.84</v>
      </c>
      <c r="AF12" s="7">
        <f t="shared" si="18"/>
        <v>105.9685048500581</v>
      </c>
      <c r="AG12" s="22">
        <f t="shared" si="46"/>
        <v>8036.6514078284063</v>
      </c>
      <c r="AI12" s="15">
        <f t="shared" si="36"/>
        <v>14</v>
      </c>
      <c r="AJ12" s="7">
        <f t="shared" si="19"/>
        <v>120.87275669669849</v>
      </c>
      <c r="AK12" s="22">
        <f t="shared" si="20"/>
        <v>1692.2185937537788</v>
      </c>
      <c r="AL12" s="22"/>
      <c r="AM12" s="15">
        <f t="shared" si="37"/>
        <v>5</v>
      </c>
      <c r="AN12" s="7">
        <f t="shared" si="38"/>
        <v>219.76864853945176</v>
      </c>
      <c r="AO12" s="22">
        <f t="shared" si="21"/>
        <v>1098.8432426972588</v>
      </c>
      <c r="AQ12" s="7">
        <f t="shared" si="39"/>
        <v>0</v>
      </c>
      <c r="AR12" s="7">
        <f t="shared" si="22"/>
        <v>0</v>
      </c>
      <c r="AS12" s="22">
        <f t="shared" si="40"/>
        <v>0</v>
      </c>
      <c r="AU12" s="34">
        <f t="shared" si="23"/>
        <v>0</v>
      </c>
      <c r="AV12" s="22">
        <f t="shared" si="0"/>
        <v>0</v>
      </c>
      <c r="AX12" s="34">
        <f t="shared" si="24"/>
        <v>0</v>
      </c>
      <c r="AY12" s="22">
        <f t="shared" si="1"/>
        <v>0</v>
      </c>
      <c r="BA12" s="34">
        <f t="shared" si="25"/>
        <v>0</v>
      </c>
      <c r="BB12" s="22">
        <f t="shared" si="2"/>
        <v>0</v>
      </c>
      <c r="BD12" s="22">
        <f t="shared" si="3"/>
        <v>39.68</v>
      </c>
      <c r="BE12" s="7"/>
      <c r="BF12" s="22">
        <f t="shared" si="41"/>
        <v>2361.7804096373088</v>
      </c>
      <c r="BH12" s="22">
        <f t="shared" si="42"/>
        <v>17244.727194117793</v>
      </c>
      <c r="BJ12" s="22">
        <f t="shared" si="4"/>
        <v>2436.7762195264477</v>
      </c>
      <c r="BL12" s="163">
        <f t="shared" si="26"/>
        <v>1.8713685052244275</v>
      </c>
      <c r="BN12" s="7">
        <f t="shared" si="47"/>
        <v>156.76830262480897</v>
      </c>
      <c r="BO12" s="7">
        <f t="shared" si="43"/>
        <v>176.78039985574398</v>
      </c>
      <c r="BP12" s="7">
        <f t="shared" si="44"/>
        <v>156.14770861729147</v>
      </c>
      <c r="BQ12" s="7">
        <v>119.35691661532179</v>
      </c>
    </row>
    <row r="13" spans="1:73" x14ac:dyDescent="0.2">
      <c r="A13" s="8">
        <f t="shared" si="5"/>
        <v>2029</v>
      </c>
      <c r="B13" s="34">
        <f t="shared" si="6"/>
        <v>8190.0449689035722</v>
      </c>
      <c r="C13" s="122">
        <f t="shared" si="45"/>
        <v>8.1900449689035728</v>
      </c>
      <c r="D13" s="34">
        <f t="shared" si="27"/>
        <v>2.48</v>
      </c>
      <c r="E13" s="34"/>
      <c r="F13" s="34">
        <f t="shared" si="7"/>
        <v>20311.31152288086</v>
      </c>
      <c r="G13" s="35"/>
      <c r="H13" s="28">
        <f t="shared" si="28"/>
        <v>557.54999999999995</v>
      </c>
      <c r="I13" s="14">
        <f t="shared" si="8"/>
        <v>6.6393436242853889</v>
      </c>
      <c r="J13" s="31">
        <f t="shared" si="29"/>
        <v>3701.7660377203183</v>
      </c>
      <c r="L13" s="15">
        <f t="shared" si="30"/>
        <v>5</v>
      </c>
      <c r="M13" s="7">
        <f t="shared" si="9"/>
        <v>32.513256277750507</v>
      </c>
      <c r="N13" s="7">
        <f t="shared" si="10"/>
        <v>162.56628138875254</v>
      </c>
      <c r="P13" s="15">
        <f t="shared" si="31"/>
        <v>4</v>
      </c>
      <c r="Q13" s="7">
        <f t="shared" si="11"/>
        <v>44.498247893648028</v>
      </c>
      <c r="R13" s="7">
        <f t="shared" si="12"/>
        <v>177.99299157459211</v>
      </c>
      <c r="T13" s="15">
        <f t="shared" si="32"/>
        <v>2</v>
      </c>
      <c r="U13" s="7">
        <f t="shared" si="13"/>
        <v>20.808972204791523</v>
      </c>
      <c r="V13" s="22">
        <f t="shared" si="14"/>
        <v>41.617944409583046</v>
      </c>
      <c r="W13" s="22"/>
      <c r="X13" s="15">
        <f t="shared" si="33"/>
        <v>0</v>
      </c>
      <c r="Y13" s="7">
        <f t="shared" si="15"/>
        <v>0</v>
      </c>
      <c r="Z13" s="22">
        <f t="shared" si="16"/>
        <v>0</v>
      </c>
      <c r="AB13" s="15">
        <f t="shared" si="17"/>
        <v>3.8597469531268223</v>
      </c>
      <c r="AC13" s="22">
        <f t="shared" si="34"/>
        <v>9.5721724437545195</v>
      </c>
      <c r="AE13" s="7">
        <f t="shared" si="35"/>
        <v>75.84</v>
      </c>
      <c r="AF13" s="7">
        <f t="shared" si="18"/>
        <v>109.35949700525995</v>
      </c>
      <c r="AG13" s="22">
        <f t="shared" si="46"/>
        <v>8293.824252878916</v>
      </c>
      <c r="AI13" s="15">
        <f t="shared" si="36"/>
        <v>14</v>
      </c>
      <c r="AJ13" s="7">
        <f t="shared" si="19"/>
        <v>124.74068491099284</v>
      </c>
      <c r="AK13" s="22">
        <f t="shared" si="20"/>
        <v>1746.3695887538997</v>
      </c>
      <c r="AL13" s="22"/>
      <c r="AM13" s="15">
        <f t="shared" si="37"/>
        <v>5</v>
      </c>
      <c r="AN13" s="7">
        <f t="shared" si="38"/>
        <v>226.80124529271424</v>
      </c>
      <c r="AO13" s="22">
        <f t="shared" si="21"/>
        <v>1134.0062264635712</v>
      </c>
      <c r="AQ13" s="7">
        <f t="shared" si="39"/>
        <v>0</v>
      </c>
      <c r="AR13" s="7">
        <f t="shared" si="22"/>
        <v>0</v>
      </c>
      <c r="AS13" s="22">
        <f t="shared" si="40"/>
        <v>0</v>
      </c>
      <c r="AU13" s="34">
        <f t="shared" si="23"/>
        <v>0</v>
      </c>
      <c r="AV13" s="22">
        <f t="shared" si="0"/>
        <v>0</v>
      </c>
      <c r="AX13" s="34">
        <f t="shared" si="24"/>
        <v>0</v>
      </c>
      <c r="AY13" s="22">
        <f t="shared" si="1"/>
        <v>0</v>
      </c>
      <c r="BA13" s="34">
        <f t="shared" si="25"/>
        <v>0</v>
      </c>
      <c r="BB13" s="22">
        <f t="shared" si="2"/>
        <v>0</v>
      </c>
      <c r="BD13" s="22">
        <f t="shared" si="3"/>
        <v>39.68</v>
      </c>
      <c r="BE13" s="7"/>
      <c r="BF13" s="22">
        <f t="shared" si="41"/>
        <v>2437.357382745703</v>
      </c>
      <c r="BH13" s="22">
        <f t="shared" si="42"/>
        <v>17744.752878379091</v>
      </c>
      <c r="BJ13" s="22">
        <f t="shared" si="4"/>
        <v>2566.5586445017689</v>
      </c>
      <c r="BL13" s="163">
        <f t="shared" si="26"/>
        <v>1.8651908884524067</v>
      </c>
      <c r="BN13" s="7">
        <f t="shared" si="47"/>
        <v>161.78488830880286</v>
      </c>
      <c r="BO13" s="7">
        <f t="shared" si="43"/>
        <v>182.43737265112779</v>
      </c>
      <c r="BP13" s="7">
        <f t="shared" si="44"/>
        <v>161.14443529304481</v>
      </c>
      <c r="BQ13" s="7">
        <v>121.670750942292</v>
      </c>
    </row>
    <row r="14" spans="1:73" x14ac:dyDescent="0.2">
      <c r="A14" s="8">
        <f t="shared" si="5"/>
        <v>2030</v>
      </c>
      <c r="B14" s="34">
        <f t="shared" si="6"/>
        <v>8452.1264079084849</v>
      </c>
      <c r="C14" s="122">
        <f t="shared" si="45"/>
        <v>8.4521264079084855</v>
      </c>
      <c r="D14" s="34">
        <f t="shared" si="27"/>
        <v>2.48</v>
      </c>
      <c r="E14" s="34"/>
      <c r="F14" s="34">
        <f t="shared" si="7"/>
        <v>20961.273491613043</v>
      </c>
      <c r="G14" s="35"/>
      <c r="H14" s="28">
        <f t="shared" si="28"/>
        <v>557.54999999999995</v>
      </c>
      <c r="I14" s="14">
        <f t="shared" si="8"/>
        <v>6.7659859231853821</v>
      </c>
      <c r="J14" s="31">
        <f t="shared" si="29"/>
        <v>3772.3754514720094</v>
      </c>
      <c r="L14" s="15">
        <f t="shared" si="30"/>
        <v>5</v>
      </c>
      <c r="M14" s="7">
        <f t="shared" si="9"/>
        <v>33.133431065010768</v>
      </c>
      <c r="N14" s="7">
        <f t="shared" si="10"/>
        <v>165.66715532505384</v>
      </c>
      <c r="P14" s="15">
        <f t="shared" si="31"/>
        <v>4</v>
      </c>
      <c r="Q14" s="7">
        <f t="shared" si="11"/>
        <v>45.347030654290265</v>
      </c>
      <c r="R14" s="7">
        <f t="shared" si="12"/>
        <v>181.38812261716106</v>
      </c>
      <c r="T14" s="15">
        <f t="shared" si="32"/>
        <v>2</v>
      </c>
      <c r="U14" s="7">
        <f t="shared" si="13"/>
        <v>21.205893380571833</v>
      </c>
      <c r="V14" s="22">
        <f t="shared" si="14"/>
        <v>42.411786761143667</v>
      </c>
      <c r="W14" s="22"/>
      <c r="X14" s="15">
        <f t="shared" si="33"/>
        <v>0</v>
      </c>
      <c r="Y14" s="7">
        <f t="shared" si="15"/>
        <v>0</v>
      </c>
      <c r="Z14" s="22">
        <f t="shared" si="16"/>
        <v>0</v>
      </c>
      <c r="AB14" s="15">
        <f t="shared" si="17"/>
        <v>3.9832588556268806</v>
      </c>
      <c r="AC14" s="22">
        <f t="shared" si="34"/>
        <v>9.8784819619546642</v>
      </c>
      <c r="AE14" s="7">
        <f t="shared" si="35"/>
        <v>75.84</v>
      </c>
      <c r="AF14" s="7">
        <f t="shared" si="18"/>
        <v>112.85900090942827</v>
      </c>
      <c r="AG14" s="22">
        <f t="shared" si="46"/>
        <v>8559.2266289710406</v>
      </c>
      <c r="AI14" s="15">
        <f t="shared" si="36"/>
        <v>14</v>
      </c>
      <c r="AJ14" s="7">
        <f t="shared" si="19"/>
        <v>128.7323868281446</v>
      </c>
      <c r="AK14" s="22">
        <f t="shared" si="20"/>
        <v>1802.2534155940243</v>
      </c>
      <c r="AL14" s="22"/>
      <c r="AM14" s="15">
        <f t="shared" si="37"/>
        <v>5</v>
      </c>
      <c r="AN14" s="7">
        <f t="shared" si="38"/>
        <v>234.0588851420811</v>
      </c>
      <c r="AO14" s="22">
        <f t="shared" si="21"/>
        <v>1170.2944257104054</v>
      </c>
      <c r="AQ14" s="7">
        <f t="shared" si="39"/>
        <v>0</v>
      </c>
      <c r="AR14" s="7">
        <f t="shared" si="22"/>
        <v>0</v>
      </c>
      <c r="AS14" s="22">
        <f t="shared" si="40"/>
        <v>0</v>
      </c>
      <c r="AU14" s="34">
        <f t="shared" si="23"/>
        <v>0</v>
      </c>
      <c r="AV14" s="22">
        <f t="shared" si="0"/>
        <v>0</v>
      </c>
      <c r="AX14" s="34">
        <f t="shared" si="24"/>
        <v>0</v>
      </c>
      <c r="AY14" s="22">
        <f t="shared" si="1"/>
        <v>0</v>
      </c>
      <c r="BA14" s="34">
        <f t="shared" si="25"/>
        <v>0</v>
      </c>
      <c r="BB14" s="22">
        <f t="shared" si="2"/>
        <v>0</v>
      </c>
      <c r="BD14" s="22">
        <f t="shared" si="3"/>
        <v>39.68</v>
      </c>
      <c r="BE14" s="7"/>
      <c r="BF14" s="22">
        <f t="shared" si="41"/>
        <v>2515.3528189935651</v>
      </c>
      <c r="BH14" s="22">
        <f t="shared" si="42"/>
        <v>18258.52828740636</v>
      </c>
      <c r="BJ14" s="22">
        <f t="shared" si="4"/>
        <v>2702.7452042066834</v>
      </c>
      <c r="BL14" s="163">
        <f t="shared" si="26"/>
        <v>1.8589381790385284</v>
      </c>
      <c r="BN14" s="7">
        <f t="shared" si="47"/>
        <v>166.96200473468454</v>
      </c>
      <c r="BO14" s="7">
        <f t="shared" si="43"/>
        <v>188.27536857596388</v>
      </c>
      <c r="BP14" s="7">
        <f t="shared" si="44"/>
        <v>166.30105722242223</v>
      </c>
      <c r="BQ14" s="7">
        <v>123.9915622272899</v>
      </c>
    </row>
    <row r="15" spans="1:73" x14ac:dyDescent="0.2">
      <c r="A15" s="8">
        <f t="shared" si="5"/>
        <v>2031</v>
      </c>
      <c r="B15" s="34">
        <f t="shared" si="6"/>
        <v>8722.5944529615554</v>
      </c>
      <c r="C15" s="122">
        <f t="shared" si="45"/>
        <v>8.7225944529615553</v>
      </c>
      <c r="D15" s="34">
        <f t="shared" si="27"/>
        <v>2.48</v>
      </c>
      <c r="E15" s="34"/>
      <c r="F15" s="34">
        <f t="shared" si="7"/>
        <v>21632.034243344657</v>
      </c>
      <c r="G15" s="35"/>
      <c r="H15" s="28">
        <f t="shared" si="28"/>
        <v>557.54999999999995</v>
      </c>
      <c r="I15" s="14">
        <f t="shared" si="8"/>
        <v>6.8018443742030721</v>
      </c>
      <c r="J15" s="31">
        <f t="shared" si="29"/>
        <v>3792.3683308369227</v>
      </c>
      <c r="L15" s="15">
        <f t="shared" si="30"/>
        <v>5</v>
      </c>
      <c r="M15" s="7">
        <f t="shared" si="9"/>
        <v>33.30903200896504</v>
      </c>
      <c r="N15" s="7">
        <f t="shared" si="10"/>
        <v>166.5451600448252</v>
      </c>
      <c r="P15" s="15">
        <f t="shared" si="31"/>
        <v>4</v>
      </c>
      <c r="Q15" s="7">
        <f t="shared" si="11"/>
        <v>45.587361375633094</v>
      </c>
      <c r="R15" s="7">
        <f t="shared" si="12"/>
        <v>182.34944550253238</v>
      </c>
      <c r="T15" s="15">
        <f t="shared" si="32"/>
        <v>2</v>
      </c>
      <c r="U15" s="7">
        <f t="shared" si="13"/>
        <v>21.318280621353381</v>
      </c>
      <c r="V15" s="22">
        <f t="shared" si="14"/>
        <v>42.636561242706762</v>
      </c>
      <c r="W15" s="22"/>
      <c r="X15" s="15">
        <f t="shared" si="33"/>
        <v>0</v>
      </c>
      <c r="Y15" s="7">
        <f t="shared" si="15"/>
        <v>0</v>
      </c>
      <c r="Z15" s="22">
        <f t="shared" si="16"/>
        <v>0</v>
      </c>
      <c r="AB15" s="15">
        <f t="shared" si="17"/>
        <v>4.1107231390069412</v>
      </c>
      <c r="AC15" s="22">
        <f t="shared" si="34"/>
        <v>10.194593384737214</v>
      </c>
      <c r="AE15" s="7">
        <f t="shared" si="35"/>
        <v>75.84</v>
      </c>
      <c r="AF15" s="7">
        <f t="shared" si="18"/>
        <v>116.47048893852998</v>
      </c>
      <c r="AG15" s="22">
        <f t="shared" si="46"/>
        <v>8833.1218810981136</v>
      </c>
      <c r="AI15" s="15">
        <f t="shared" si="36"/>
        <v>14</v>
      </c>
      <c r="AJ15" s="7">
        <f t="shared" si="19"/>
        <v>132.85182320664524</v>
      </c>
      <c r="AK15" s="22">
        <f t="shared" si="20"/>
        <v>1859.9255248930333</v>
      </c>
      <c r="AL15" s="22"/>
      <c r="AM15" s="15">
        <f t="shared" si="37"/>
        <v>5</v>
      </c>
      <c r="AN15" s="7">
        <f t="shared" si="38"/>
        <v>241.5487694666277</v>
      </c>
      <c r="AO15" s="22">
        <f t="shared" si="21"/>
        <v>1207.7438473331385</v>
      </c>
      <c r="AQ15" s="7">
        <f t="shared" si="39"/>
        <v>0</v>
      </c>
      <c r="AR15" s="7">
        <f t="shared" si="22"/>
        <v>0</v>
      </c>
      <c r="AS15" s="22">
        <f t="shared" si="40"/>
        <v>0</v>
      </c>
      <c r="AU15" s="34">
        <f t="shared" si="23"/>
        <v>0</v>
      </c>
      <c r="AV15" s="22">
        <f t="shared" si="0"/>
        <v>0</v>
      </c>
      <c r="AX15" s="34">
        <f t="shared" si="24"/>
        <v>0</v>
      </c>
      <c r="AY15" s="22">
        <f t="shared" si="1"/>
        <v>0</v>
      </c>
      <c r="BA15" s="34">
        <f t="shared" si="25"/>
        <v>0</v>
      </c>
      <c r="BB15" s="22">
        <f t="shared" si="2"/>
        <v>0</v>
      </c>
      <c r="BD15" s="22">
        <f t="shared" si="3"/>
        <v>39.68</v>
      </c>
      <c r="BE15" s="7"/>
      <c r="BF15" s="22">
        <f t="shared" si="41"/>
        <v>2595.8441092013586</v>
      </c>
      <c r="BH15" s="22">
        <f t="shared" si="42"/>
        <v>18730.40945353737</v>
      </c>
      <c r="BJ15" s="22">
        <f t="shared" si="4"/>
        <v>2901.624789807287</v>
      </c>
      <c r="BL15" s="163">
        <f t="shared" si="26"/>
        <v>1.8461837163351389</v>
      </c>
      <c r="BN15" s="7">
        <f t="shared" si="47"/>
        <v>172.30478888619444</v>
      </c>
      <c r="BO15" s="7">
        <f t="shared" si="43"/>
        <v>194.30018037039471</v>
      </c>
      <c r="BP15" s="7">
        <f t="shared" si="44"/>
        <v>171.62269105353974</v>
      </c>
      <c r="BQ15" s="7">
        <v>124.64869415325184</v>
      </c>
    </row>
    <row r="16" spans="1:73" x14ac:dyDescent="0.2">
      <c r="A16" s="8">
        <f t="shared" si="5"/>
        <v>2032</v>
      </c>
      <c r="B16" s="34">
        <f t="shared" si="6"/>
        <v>9001.7174754563257</v>
      </c>
      <c r="C16" s="122">
        <f t="shared" si="45"/>
        <v>9.0017174754563261</v>
      </c>
      <c r="D16" s="34">
        <f t="shared" si="27"/>
        <v>2.48</v>
      </c>
      <c r="E16" s="34"/>
      <c r="F16" s="34">
        <f t="shared" si="7"/>
        <v>22324.259339131688</v>
      </c>
      <c r="G16" s="35"/>
      <c r="H16" s="28">
        <f t="shared" si="28"/>
        <v>557.54999999999995</v>
      </c>
      <c r="I16" s="14">
        <f t="shared" si="8"/>
        <v>6.8266215824192065</v>
      </c>
      <c r="J16" s="31">
        <f t="shared" si="29"/>
        <v>3806.1828632778283</v>
      </c>
      <c r="L16" s="15">
        <f t="shared" si="30"/>
        <v>5</v>
      </c>
      <c r="M16" s="7">
        <f t="shared" si="9"/>
        <v>33.430367455082283</v>
      </c>
      <c r="N16" s="7">
        <f t="shared" si="10"/>
        <v>167.15183727541142</v>
      </c>
      <c r="P16" s="15">
        <f t="shared" si="31"/>
        <v>4</v>
      </c>
      <c r="Q16" s="7">
        <f t="shared" si="11"/>
        <v>45.753423326287553</v>
      </c>
      <c r="R16" s="7">
        <f t="shared" si="12"/>
        <v>183.01369330515021</v>
      </c>
      <c r="T16" s="15">
        <f t="shared" si="32"/>
        <v>2</v>
      </c>
      <c r="U16" s="7">
        <f t="shared" si="13"/>
        <v>21.395937128721961</v>
      </c>
      <c r="V16" s="22">
        <f t="shared" si="14"/>
        <v>42.791874257443922</v>
      </c>
      <c r="W16" s="22"/>
      <c r="X16" s="15">
        <f t="shared" si="33"/>
        <v>0</v>
      </c>
      <c r="Y16" s="7">
        <f t="shared" si="15"/>
        <v>0</v>
      </c>
      <c r="Z16" s="22">
        <f t="shared" si="16"/>
        <v>0</v>
      </c>
      <c r="AB16" s="15">
        <f t="shared" si="17"/>
        <v>4.2422662794551638</v>
      </c>
      <c r="AC16" s="22">
        <f t="shared" si="34"/>
        <v>10.520820373048807</v>
      </c>
      <c r="AE16" s="7">
        <f t="shared" si="35"/>
        <v>75.84</v>
      </c>
      <c r="AF16" s="7">
        <f t="shared" si="18"/>
        <v>120.19754458456295</v>
      </c>
      <c r="AG16" s="22">
        <f t="shared" si="46"/>
        <v>9115.7817812932535</v>
      </c>
      <c r="AI16" s="15">
        <f t="shared" si="36"/>
        <v>14</v>
      </c>
      <c r="AJ16" s="7">
        <f t="shared" si="19"/>
        <v>137.10308154925789</v>
      </c>
      <c r="AK16" s="22">
        <f t="shared" si="20"/>
        <v>1919.4431416896105</v>
      </c>
      <c r="AL16" s="22"/>
      <c r="AM16" s="15">
        <f t="shared" si="37"/>
        <v>5</v>
      </c>
      <c r="AN16" s="7">
        <f t="shared" si="38"/>
        <v>249.27833008955977</v>
      </c>
      <c r="AO16" s="22">
        <f t="shared" si="21"/>
        <v>1246.3916504477988</v>
      </c>
      <c r="AQ16" s="7">
        <f t="shared" si="39"/>
        <v>0</v>
      </c>
      <c r="AR16" s="7">
        <f t="shared" si="22"/>
        <v>0</v>
      </c>
      <c r="AS16" s="22">
        <f t="shared" si="40"/>
        <v>0</v>
      </c>
      <c r="AU16" s="34">
        <f t="shared" si="23"/>
        <v>0</v>
      </c>
      <c r="AV16" s="22">
        <f t="shared" si="0"/>
        <v>0</v>
      </c>
      <c r="AX16" s="34">
        <f t="shared" si="24"/>
        <v>0</v>
      </c>
      <c r="AY16" s="22">
        <f t="shared" si="1"/>
        <v>0</v>
      </c>
      <c r="BA16" s="34">
        <f t="shared" si="25"/>
        <v>0</v>
      </c>
      <c r="BB16" s="22">
        <f t="shared" si="2"/>
        <v>0</v>
      </c>
      <c r="BD16" s="22">
        <f t="shared" si="3"/>
        <v>39.68</v>
      </c>
      <c r="BE16" s="7"/>
      <c r="BF16" s="22">
        <f t="shared" si="41"/>
        <v>2678.9111206958023</v>
      </c>
      <c r="BH16" s="22">
        <f t="shared" si="42"/>
        <v>19209.868782615347</v>
      </c>
      <c r="BJ16" s="22">
        <f t="shared" si="4"/>
        <v>3114.3905565163404</v>
      </c>
      <c r="BL16" s="163">
        <f t="shared" si="26"/>
        <v>1.832988140931042</v>
      </c>
      <c r="BN16" s="7">
        <f t="shared" si="47"/>
        <v>177.81854213055266</v>
      </c>
      <c r="BO16" s="7">
        <f t="shared" si="43"/>
        <v>200.51778614224733</v>
      </c>
      <c r="BP16" s="7">
        <f t="shared" si="44"/>
        <v>177.11461716725302</v>
      </c>
      <c r="BQ16" s="7">
        <v>125.10275432855042</v>
      </c>
    </row>
    <row r="17" spans="1:69" x14ac:dyDescent="0.2">
      <c r="A17" s="8">
        <f t="shared" si="5"/>
        <v>2033</v>
      </c>
      <c r="B17" s="34">
        <f t="shared" si="6"/>
        <v>9289.7724346709274</v>
      </c>
      <c r="C17" s="122">
        <f t="shared" si="45"/>
        <v>9.2897724346709278</v>
      </c>
      <c r="D17" s="34">
        <f t="shared" si="27"/>
        <v>2.48</v>
      </c>
      <c r="E17" s="34"/>
      <c r="F17" s="34">
        <f t="shared" si="7"/>
        <v>23038.635637983898</v>
      </c>
      <c r="G17" s="35"/>
      <c r="H17" s="28">
        <f t="shared" si="28"/>
        <v>557.54999999999995</v>
      </c>
      <c r="I17" s="14">
        <f t="shared" si="8"/>
        <v>6.8069714857716379</v>
      </c>
      <c r="J17" s="31">
        <f t="shared" si="29"/>
        <v>3795.2269518919766</v>
      </c>
      <c r="L17" s="15">
        <f t="shared" si="30"/>
        <v>5</v>
      </c>
      <c r="M17" s="7">
        <f t="shared" si="9"/>
        <v>33.334139775911105</v>
      </c>
      <c r="N17" s="7">
        <f t="shared" si="10"/>
        <v>166.67069887955552</v>
      </c>
      <c r="P17" s="15">
        <f t="shared" si="31"/>
        <v>4</v>
      </c>
      <c r="Q17" s="7">
        <f t="shared" si="11"/>
        <v>45.621724332947416</v>
      </c>
      <c r="R17" s="7">
        <f t="shared" si="12"/>
        <v>182.48689733178966</v>
      </c>
      <c r="T17" s="15">
        <f t="shared" si="32"/>
        <v>2</v>
      </c>
      <c r="U17" s="7">
        <f t="shared" si="13"/>
        <v>21.334349969192356</v>
      </c>
      <c r="V17" s="22">
        <f t="shared" si="14"/>
        <v>42.668699938384712</v>
      </c>
      <c r="W17" s="22"/>
      <c r="X17" s="15">
        <f t="shared" si="33"/>
        <v>0</v>
      </c>
      <c r="Y17" s="7">
        <f t="shared" si="15"/>
        <v>0</v>
      </c>
      <c r="Z17" s="22">
        <f t="shared" si="16"/>
        <v>0</v>
      </c>
      <c r="AB17" s="15">
        <f t="shared" si="17"/>
        <v>4.3780188003977294</v>
      </c>
      <c r="AC17" s="22">
        <f t="shared" si="34"/>
        <v>10.857486624986368</v>
      </c>
      <c r="AE17" s="7">
        <f t="shared" si="35"/>
        <v>75.84</v>
      </c>
      <c r="AF17" s="7">
        <f t="shared" si="18"/>
        <v>124.04386601126896</v>
      </c>
      <c r="AG17" s="22">
        <f t="shared" si="46"/>
        <v>9407.486798294638</v>
      </c>
      <c r="AI17" s="15">
        <f t="shared" si="36"/>
        <v>14</v>
      </c>
      <c r="AJ17" s="7">
        <f t="shared" si="19"/>
        <v>141.49038015883414</v>
      </c>
      <c r="AK17" s="22">
        <f t="shared" si="20"/>
        <v>1980.865322223678</v>
      </c>
      <c r="AL17" s="22"/>
      <c r="AM17" s="15">
        <f t="shared" si="37"/>
        <v>5</v>
      </c>
      <c r="AN17" s="7">
        <f t="shared" si="38"/>
        <v>257.25523665242565</v>
      </c>
      <c r="AO17" s="22">
        <f t="shared" si="21"/>
        <v>1286.2761832621281</v>
      </c>
      <c r="AQ17" s="7">
        <f t="shared" si="39"/>
        <v>0</v>
      </c>
      <c r="AR17" s="7">
        <f t="shared" si="22"/>
        <v>0</v>
      </c>
      <c r="AS17" s="22">
        <f>+AQ17*AR17</f>
        <v>0</v>
      </c>
      <c r="AU17" s="34">
        <f t="shared" si="23"/>
        <v>0</v>
      </c>
      <c r="AV17" s="22">
        <f t="shared" si="0"/>
        <v>0</v>
      </c>
      <c r="AX17" s="34">
        <f t="shared" si="24"/>
        <v>0</v>
      </c>
      <c r="AY17" s="22">
        <f>+AX17*D17</f>
        <v>0</v>
      </c>
      <c r="BA17" s="34">
        <f t="shared" si="25"/>
        <v>0</v>
      </c>
      <c r="BB17" s="22">
        <f t="shared" si="2"/>
        <v>0</v>
      </c>
      <c r="BD17" s="22">
        <f t="shared" si="3"/>
        <v>39.68</v>
      </c>
      <c r="BE17" s="7"/>
      <c r="BF17" s="22">
        <f t="shared" si="41"/>
        <v>2764.6362765580675</v>
      </c>
      <c r="BH17" s="22">
        <f t="shared" si="42"/>
        <v>19676.855315005207</v>
      </c>
      <c r="BJ17" s="22">
        <f>+F17-BH17</f>
        <v>3361.7803229786914</v>
      </c>
      <c r="BL17" s="163">
        <f t="shared" si="26"/>
        <v>1.8172040207538571</v>
      </c>
      <c r="BN17" s="7">
        <f t="shared" si="47"/>
        <v>183.50873547873033</v>
      </c>
      <c r="BO17" s="7">
        <f t="shared" si="43"/>
        <v>206.93435529879923</v>
      </c>
      <c r="BP17" s="7">
        <f t="shared" si="44"/>
        <v>182.78228491660511</v>
      </c>
      <c r="BQ17" s="7">
        <v>124.74265216326211</v>
      </c>
    </row>
    <row r="18" spans="1:69" x14ac:dyDescent="0.2">
      <c r="A18" s="8">
        <f t="shared" si="5"/>
        <v>2034</v>
      </c>
      <c r="B18" s="34">
        <f t="shared" si="6"/>
        <v>9587.0451525803965</v>
      </c>
      <c r="C18" s="122">
        <f t="shared" si="45"/>
        <v>9.5870451525803961</v>
      </c>
      <c r="D18" s="34">
        <f t="shared" si="27"/>
        <v>2.48</v>
      </c>
      <c r="E18" s="34"/>
      <c r="F18" s="34">
        <f t="shared" si="7"/>
        <v>23775.871978399384</v>
      </c>
      <c r="G18" s="35"/>
      <c r="H18" s="28">
        <f t="shared" si="28"/>
        <v>557.54999999999995</v>
      </c>
      <c r="I18" s="14">
        <f t="shared" si="8"/>
        <v>6.7971439850882778</v>
      </c>
      <c r="J18" s="31">
        <f t="shared" si="29"/>
        <v>3789.7476288859689</v>
      </c>
      <c r="L18" s="15">
        <f t="shared" si="30"/>
        <v>5</v>
      </c>
      <c r="M18" s="7">
        <f t="shared" si="9"/>
        <v>33.286013926976416</v>
      </c>
      <c r="N18" s="7">
        <f t="shared" si="10"/>
        <v>166.43006963488207</v>
      </c>
      <c r="P18" s="15">
        <f t="shared" si="31"/>
        <v>4</v>
      </c>
      <c r="Q18" s="7">
        <f t="shared" si="11"/>
        <v>45.555858400058568</v>
      </c>
      <c r="R18" s="7">
        <f t="shared" si="12"/>
        <v>182.22343360023427</v>
      </c>
      <c r="T18" s="15">
        <f t="shared" si="32"/>
        <v>2</v>
      </c>
      <c r="U18" s="7">
        <f t="shared" si="13"/>
        <v>21.303548703263811</v>
      </c>
      <c r="V18" s="22">
        <f t="shared" si="14"/>
        <v>42.607097406527622</v>
      </c>
      <c r="W18" s="22"/>
      <c r="X18" s="15">
        <f t="shared" si="33"/>
        <v>0</v>
      </c>
      <c r="Y18" s="7">
        <f t="shared" si="15"/>
        <v>0</v>
      </c>
      <c r="Z18" s="22">
        <f t="shared" si="16"/>
        <v>0</v>
      </c>
      <c r="AB18" s="15">
        <f t="shared" si="17"/>
        <v>4.5181154020104568</v>
      </c>
      <c r="AC18" s="22">
        <f t="shared" si="34"/>
        <v>11.204926196985932</v>
      </c>
      <c r="AE18" s="7">
        <f t="shared" si="35"/>
        <v>75.84</v>
      </c>
      <c r="AF18" s="7">
        <f t="shared" si="18"/>
        <v>128.01326972362958</v>
      </c>
      <c r="AG18" s="22">
        <f t="shared" si="46"/>
        <v>9708.526375840067</v>
      </c>
      <c r="AI18" s="15">
        <f t="shared" si="36"/>
        <v>14</v>
      </c>
      <c r="AJ18" s="7">
        <f t="shared" si="19"/>
        <v>146.01807232391684</v>
      </c>
      <c r="AK18" s="22">
        <f t="shared" si="20"/>
        <v>2044.2530125348358</v>
      </c>
      <c r="AL18" s="22"/>
      <c r="AM18" s="15">
        <f t="shared" si="37"/>
        <v>5</v>
      </c>
      <c r="AN18" s="7">
        <f t="shared" si="38"/>
        <v>265.48740422530329</v>
      </c>
      <c r="AO18" s="22">
        <f t="shared" si="21"/>
        <v>1327.4370211265164</v>
      </c>
      <c r="AQ18" s="7">
        <f t="shared" si="39"/>
        <v>0</v>
      </c>
      <c r="AR18" s="7">
        <f t="shared" si="22"/>
        <v>0</v>
      </c>
      <c r="AS18" s="22">
        <f t="shared" si="40"/>
        <v>0</v>
      </c>
      <c r="AU18" s="34">
        <f t="shared" si="23"/>
        <v>0</v>
      </c>
      <c r="AV18" s="22">
        <f t="shared" si="0"/>
        <v>0</v>
      </c>
      <c r="AX18" s="34">
        <f t="shared" si="24"/>
        <v>0</v>
      </c>
      <c r="AY18" s="22">
        <f t="shared" si="1"/>
        <v>0</v>
      </c>
      <c r="BA18" s="34">
        <f t="shared" si="25"/>
        <v>0</v>
      </c>
      <c r="BB18" s="22">
        <f t="shared" si="2"/>
        <v>0</v>
      </c>
      <c r="BD18" s="22">
        <f t="shared" si="3"/>
        <v>39.68</v>
      </c>
      <c r="BE18" s="7"/>
      <c r="BF18" s="22">
        <f t="shared" si="41"/>
        <v>2853.104637407926</v>
      </c>
      <c r="BH18" s="22">
        <f t="shared" si="42"/>
        <v>20165.214202633942</v>
      </c>
      <c r="BJ18" s="22">
        <f t="shared" si="4"/>
        <v>3610.6577757654413</v>
      </c>
      <c r="BL18" s="163">
        <f t="shared" si="26"/>
        <v>1.8025806854494923</v>
      </c>
      <c r="BN18" s="7">
        <f t="shared" si="47"/>
        <v>189.38101501404969</v>
      </c>
      <c r="BO18" s="7">
        <f t="shared" si="43"/>
        <v>213.55625466836082</v>
      </c>
      <c r="BP18" s="7">
        <f t="shared" si="44"/>
        <v>188.63131803393648</v>
      </c>
      <c r="BQ18" s="7">
        <v>124.56255613936351</v>
      </c>
    </row>
    <row r="19" spans="1:69" x14ac:dyDescent="0.2">
      <c r="A19" s="8">
        <f t="shared" si="5"/>
        <v>2035</v>
      </c>
      <c r="B19" s="34">
        <f t="shared" si="6"/>
        <v>9893.8305974629693</v>
      </c>
      <c r="C19" s="122">
        <f t="shared" si="45"/>
        <v>9.8938305974629692</v>
      </c>
      <c r="D19" s="34">
        <f t="shared" si="27"/>
        <v>2.48</v>
      </c>
      <c r="E19" s="34"/>
      <c r="F19" s="34">
        <f t="shared" si="7"/>
        <v>24536.699881708162</v>
      </c>
      <c r="G19" s="35"/>
      <c r="H19" s="28">
        <f t="shared" si="28"/>
        <v>557.54999999999995</v>
      </c>
      <c r="I19" s="14">
        <f t="shared" si="8"/>
        <v>6.7770566439636974</v>
      </c>
      <c r="J19" s="31">
        <f t="shared" si="29"/>
        <v>3778.5479318419593</v>
      </c>
      <c r="L19" s="15">
        <f t="shared" si="30"/>
        <v>5</v>
      </c>
      <c r="M19" s="7">
        <f t="shared" si="9"/>
        <v>33.187645035881047</v>
      </c>
      <c r="N19" s="7">
        <f t="shared" si="10"/>
        <v>165.93822517940524</v>
      </c>
      <c r="P19" s="15">
        <f t="shared" si="31"/>
        <v>4</v>
      </c>
      <c r="Q19" s="7">
        <f t="shared" si="11"/>
        <v>45.421228904212576</v>
      </c>
      <c r="R19" s="7">
        <f t="shared" si="12"/>
        <v>181.6849156168503</v>
      </c>
      <c r="T19" s="15">
        <f t="shared" si="32"/>
        <v>2</v>
      </c>
      <c r="U19" s="7">
        <f t="shared" si="13"/>
        <v>21.240591135952396</v>
      </c>
      <c r="V19" s="22">
        <f t="shared" si="14"/>
        <v>42.481182271904792</v>
      </c>
      <c r="W19" s="22"/>
      <c r="X19" s="15">
        <f t="shared" si="33"/>
        <v>0</v>
      </c>
      <c r="Y19" s="7">
        <f t="shared" si="15"/>
        <v>0</v>
      </c>
      <c r="Z19" s="22">
        <f t="shared" si="16"/>
        <v>0</v>
      </c>
      <c r="AB19" s="15">
        <f t="shared" si="17"/>
        <v>4.6626950948747918</v>
      </c>
      <c r="AC19" s="22">
        <f t="shared" si="34"/>
        <v>11.563483835289484</v>
      </c>
      <c r="AE19" s="7">
        <f t="shared" si="35"/>
        <v>75.84</v>
      </c>
      <c r="AF19" s="7">
        <f t="shared" si="18"/>
        <v>132.10969435478572</v>
      </c>
      <c r="AG19" s="22">
        <f t="shared" si="46"/>
        <v>10019.199219866949</v>
      </c>
      <c r="AI19" s="15">
        <f t="shared" si="36"/>
        <v>14</v>
      </c>
      <c r="AJ19" s="7">
        <f t="shared" si="19"/>
        <v>150.69065063828216</v>
      </c>
      <c r="AK19" s="22">
        <f t="shared" si="20"/>
        <v>2109.6691089359501</v>
      </c>
      <c r="AL19" s="22"/>
      <c r="AM19" s="15">
        <f t="shared" si="37"/>
        <v>5</v>
      </c>
      <c r="AN19" s="7">
        <f t="shared" si="38"/>
        <v>273.98300116051297</v>
      </c>
      <c r="AO19" s="22">
        <f t="shared" si="21"/>
        <v>1369.9150058025648</v>
      </c>
      <c r="AQ19" s="7">
        <f t="shared" si="39"/>
        <v>0</v>
      </c>
      <c r="AR19" s="7">
        <f t="shared" si="22"/>
        <v>0</v>
      </c>
      <c r="AS19" s="22">
        <f t="shared" si="40"/>
        <v>0</v>
      </c>
      <c r="AU19" s="34">
        <f t="shared" si="23"/>
        <v>0</v>
      </c>
      <c r="AV19" s="22">
        <f t="shared" si="0"/>
        <v>0</v>
      </c>
      <c r="AX19" s="34">
        <f t="shared" si="24"/>
        <v>0</v>
      </c>
      <c r="AY19" s="22">
        <f t="shared" si="1"/>
        <v>0</v>
      </c>
      <c r="BA19" s="34">
        <f t="shared" si="25"/>
        <v>0</v>
      </c>
      <c r="BB19" s="22">
        <f t="shared" si="2"/>
        <v>0</v>
      </c>
      <c r="BD19" s="22">
        <f t="shared" si="3"/>
        <v>39.68</v>
      </c>
      <c r="BE19" s="7"/>
      <c r="BF19" s="22">
        <f t="shared" si="41"/>
        <v>2944.4039858049791</v>
      </c>
      <c r="BH19" s="22">
        <f t="shared" si="42"/>
        <v>20663.083059155855</v>
      </c>
      <c r="BJ19" s="22">
        <f t="shared" si="4"/>
        <v>3873.616822552307</v>
      </c>
      <c r="BL19" s="163">
        <f t="shared" si="26"/>
        <v>1.7877917472147791</v>
      </c>
      <c r="BN19" s="7">
        <f t="shared" si="47"/>
        <v>195.44120749449928</v>
      </c>
      <c r="BO19" s="7">
        <f t="shared" si="43"/>
        <v>220.39005481774836</v>
      </c>
      <c r="BP19" s="7">
        <f t="shared" si="44"/>
        <v>194.66752021102243</v>
      </c>
      <c r="BQ19" s="7">
        <v>124.19444115430356</v>
      </c>
    </row>
    <row r="20" spans="1:69" x14ac:dyDescent="0.2">
      <c r="A20" s="8">
        <f t="shared" si="5"/>
        <v>2036</v>
      </c>
      <c r="B20" s="34">
        <f t="shared" si="6"/>
        <v>10210.433176581786</v>
      </c>
      <c r="C20" s="122">
        <f t="shared" si="45"/>
        <v>10.210433176581786</v>
      </c>
      <c r="D20" s="34">
        <f t="shared" si="27"/>
        <v>2.48</v>
      </c>
      <c r="E20" s="34"/>
      <c r="F20" s="34">
        <f t="shared" si="7"/>
        <v>25321.874277922831</v>
      </c>
      <c r="G20" s="35"/>
      <c r="H20" s="28">
        <f t="shared" si="28"/>
        <v>557.54999999999995</v>
      </c>
      <c r="I20" s="14">
        <f t="shared" si="8"/>
        <v>6.6533546861611272</v>
      </c>
      <c r="J20" s="31">
        <f t="shared" si="29"/>
        <v>3709.5779052691364</v>
      </c>
      <c r="L20" s="15">
        <f t="shared" si="30"/>
        <v>5</v>
      </c>
      <c r="M20" s="7">
        <f t="shared" si="9"/>
        <v>32.581869271936107</v>
      </c>
      <c r="N20" s="7">
        <f t="shared" si="10"/>
        <v>162.90934635968054</v>
      </c>
      <c r="P20" s="15">
        <f t="shared" si="31"/>
        <v>4</v>
      </c>
      <c r="Q20" s="7">
        <f t="shared" si="11"/>
        <v>44.59215291496961</v>
      </c>
      <c r="R20" s="7">
        <f t="shared" si="12"/>
        <v>178.36861165987844</v>
      </c>
      <c r="T20" s="15">
        <f t="shared" si="32"/>
        <v>2</v>
      </c>
      <c r="U20" s="7">
        <f t="shared" si="13"/>
        <v>20.852885551295444</v>
      </c>
      <c r="V20" s="22">
        <f t="shared" si="14"/>
        <v>41.705771102590887</v>
      </c>
      <c r="W20" s="22"/>
      <c r="X20" s="15">
        <f t="shared" si="33"/>
        <v>0</v>
      </c>
      <c r="Y20" s="7">
        <f t="shared" si="15"/>
        <v>0</v>
      </c>
      <c r="Z20" s="22">
        <f t="shared" si="16"/>
        <v>0</v>
      </c>
      <c r="AB20" s="15">
        <f t="shared" si="17"/>
        <v>4.8119013379107853</v>
      </c>
      <c r="AC20" s="22">
        <f t="shared" si="34"/>
        <v>11.933515318018747</v>
      </c>
      <c r="AE20" s="7">
        <f t="shared" si="35"/>
        <v>75.84</v>
      </c>
      <c r="AF20" s="7">
        <f t="shared" si="18"/>
        <v>136.33720457413887</v>
      </c>
      <c r="AG20" s="22">
        <f t="shared" si="46"/>
        <v>10339.813594902693</v>
      </c>
      <c r="AI20" s="15">
        <f t="shared" si="36"/>
        <v>14</v>
      </c>
      <c r="AJ20" s="7">
        <f t="shared" si="19"/>
        <v>155.51275145870719</v>
      </c>
      <c r="AK20" s="22">
        <f t="shared" si="20"/>
        <v>2177.1785204219004</v>
      </c>
      <c r="AL20" s="22"/>
      <c r="AM20" s="15">
        <f t="shared" si="37"/>
        <v>5</v>
      </c>
      <c r="AN20" s="7">
        <f t="shared" si="38"/>
        <v>282.75045719764938</v>
      </c>
      <c r="AO20" s="22">
        <f t="shared" si="21"/>
        <v>1413.752285988247</v>
      </c>
      <c r="AQ20" s="7">
        <f t="shared" si="39"/>
        <v>0</v>
      </c>
      <c r="AR20" s="7">
        <f t="shared" si="22"/>
        <v>0</v>
      </c>
      <c r="AS20" s="22">
        <f t="shared" si="40"/>
        <v>0</v>
      </c>
      <c r="AU20" s="34">
        <f t="shared" si="23"/>
        <v>0</v>
      </c>
      <c r="AV20" s="22">
        <f t="shared" si="0"/>
        <v>0</v>
      </c>
      <c r="AX20" s="34">
        <f t="shared" si="24"/>
        <v>0</v>
      </c>
      <c r="AY20" s="22">
        <f t="shared" si="1"/>
        <v>0</v>
      </c>
      <c r="BA20" s="34">
        <f t="shared" si="25"/>
        <v>0</v>
      </c>
      <c r="BB20" s="22">
        <f t="shared" si="2"/>
        <v>0</v>
      </c>
      <c r="BD20" s="22">
        <f t="shared" si="3"/>
        <v>39.68</v>
      </c>
      <c r="BE20" s="7"/>
      <c r="BF20" s="22">
        <f t="shared" si="41"/>
        <v>3038.6249133507395</v>
      </c>
      <c r="BH20" s="22">
        <f t="shared" si="42"/>
        <v>21113.544464372888</v>
      </c>
      <c r="BJ20" s="22">
        <f t="shared" si="4"/>
        <v>4208.3298135499426</v>
      </c>
      <c r="BL20" s="163">
        <f t="shared" si="26"/>
        <v>1.7672507363176921</v>
      </c>
      <c r="BN20" s="7">
        <f t="shared" si="47"/>
        <v>201.69532613432327</v>
      </c>
      <c r="BO20" s="7">
        <f t="shared" si="43"/>
        <v>227.44253657191632</v>
      </c>
      <c r="BP20" s="7">
        <f t="shared" si="44"/>
        <v>200.89688085777516</v>
      </c>
      <c r="BQ20" s="7">
        <v>121.92751373638573</v>
      </c>
    </row>
    <row r="21" spans="1:69" x14ac:dyDescent="0.2">
      <c r="A21" s="8">
        <f t="shared" si="5"/>
        <v>2037</v>
      </c>
      <c r="B21" s="34">
        <f t="shared" si="6"/>
        <v>10537.167038232403</v>
      </c>
      <c r="C21" s="122">
        <f t="shared" si="45"/>
        <v>10.537167038232402</v>
      </c>
      <c r="D21" s="34">
        <f t="shared" si="27"/>
        <v>2.48</v>
      </c>
      <c r="E21" s="34"/>
      <c r="F21" s="34">
        <f t="shared" si="7"/>
        <v>26132.17425481636</v>
      </c>
      <c r="G21" s="35"/>
      <c r="H21" s="28">
        <f t="shared" si="28"/>
        <v>557.54999999999995</v>
      </c>
      <c r="I21" s="14">
        <f t="shared" si="8"/>
        <v>6.5446731622492926</v>
      </c>
      <c r="J21" s="31">
        <f t="shared" si="29"/>
        <v>3648.982521612093</v>
      </c>
      <c r="L21" s="15">
        <f t="shared" si="30"/>
        <v>5</v>
      </c>
      <c r="M21" s="7">
        <f t="shared" si="9"/>
        <v>32.049649456309034</v>
      </c>
      <c r="N21" s="7">
        <f t="shared" si="10"/>
        <v>160.24824728154516</v>
      </c>
      <c r="P21" s="15">
        <f t="shared" si="31"/>
        <v>4</v>
      </c>
      <c r="Q21" s="7">
        <f t="shared" si="11"/>
        <v>43.863746966104635</v>
      </c>
      <c r="R21" s="7">
        <f t="shared" si="12"/>
        <v>175.45498786441854</v>
      </c>
      <c r="T21" s="15">
        <f t="shared" si="32"/>
        <v>2</v>
      </c>
      <c r="U21" s="7">
        <f t="shared" si="13"/>
        <v>20.512256878005594</v>
      </c>
      <c r="V21" s="22">
        <f t="shared" si="14"/>
        <v>41.024513756011189</v>
      </c>
      <c r="W21" s="22"/>
      <c r="X21" s="15">
        <f t="shared" si="33"/>
        <v>0</v>
      </c>
      <c r="Y21" s="7">
        <f t="shared" si="15"/>
        <v>0</v>
      </c>
      <c r="Z21" s="22">
        <f t="shared" si="16"/>
        <v>0</v>
      </c>
      <c r="AB21" s="15">
        <f t="shared" si="17"/>
        <v>4.9658821807239306</v>
      </c>
      <c r="AC21" s="22">
        <f t="shared" si="34"/>
        <v>12.315387808195348</v>
      </c>
      <c r="AE21" s="7">
        <f t="shared" si="35"/>
        <v>75.84</v>
      </c>
      <c r="AF21" s="7">
        <f t="shared" si="18"/>
        <v>140.69999512051132</v>
      </c>
      <c r="AG21" s="22">
        <f t="shared" si="46"/>
        <v>10670.687629939579</v>
      </c>
      <c r="AI21" s="15">
        <f t="shared" si="36"/>
        <v>14</v>
      </c>
      <c r="AJ21" s="7">
        <f t="shared" si="19"/>
        <v>160.4891595053858</v>
      </c>
      <c r="AK21" s="22">
        <f t="shared" si="20"/>
        <v>2246.8482330754014</v>
      </c>
      <c r="AL21" s="22"/>
      <c r="AM21" s="15">
        <f t="shared" si="37"/>
        <v>5</v>
      </c>
      <c r="AN21" s="7">
        <f t="shared" si="38"/>
        <v>291.79847182797414</v>
      </c>
      <c r="AO21" s="22">
        <f t="shared" si="21"/>
        <v>1458.9923591398706</v>
      </c>
      <c r="AQ21" s="7">
        <f t="shared" si="39"/>
        <v>0</v>
      </c>
      <c r="AR21" s="7">
        <f t="shared" si="22"/>
        <v>0</v>
      </c>
      <c r="AS21" s="22">
        <f t="shared" si="40"/>
        <v>0</v>
      </c>
      <c r="AU21" s="34">
        <f t="shared" si="23"/>
        <v>0</v>
      </c>
      <c r="AV21" s="22">
        <f t="shared" si="0"/>
        <v>0</v>
      </c>
      <c r="AX21" s="34">
        <f t="shared" si="24"/>
        <v>0</v>
      </c>
      <c r="AY21" s="22">
        <f t="shared" si="1"/>
        <v>0</v>
      </c>
      <c r="BA21" s="34">
        <f t="shared" si="25"/>
        <v>0</v>
      </c>
      <c r="BB21" s="22">
        <f t="shared" si="2"/>
        <v>0</v>
      </c>
      <c r="BD21" s="22">
        <f t="shared" si="3"/>
        <v>39.68</v>
      </c>
      <c r="BE21" s="7"/>
      <c r="BF21" s="22">
        <f t="shared" si="41"/>
        <v>3135.8609105779633</v>
      </c>
      <c r="BH21" s="22">
        <f t="shared" si="42"/>
        <v>21590.094791055075</v>
      </c>
      <c r="BJ21" s="22">
        <f t="shared" si="4"/>
        <v>4542.0794637612853</v>
      </c>
      <c r="BL21" s="163">
        <f t="shared" si="26"/>
        <v>1.7484558551404581</v>
      </c>
      <c r="BN21" s="7">
        <f t="shared" si="47"/>
        <v>208.1495765706216</v>
      </c>
      <c r="BO21" s="7">
        <f t="shared" si="43"/>
        <v>234.72069774221765</v>
      </c>
      <c r="BP21" s="7">
        <f t="shared" si="44"/>
        <v>207.32558104522397</v>
      </c>
      <c r="BQ21" s="7">
        <v>119.93584658128668</v>
      </c>
    </row>
    <row r="22" spans="1:69" x14ac:dyDescent="0.2">
      <c r="A22" s="8">
        <f t="shared" si="5"/>
        <v>2038</v>
      </c>
      <c r="B22" s="34">
        <f t="shared" si="6"/>
        <v>10874.356383455839</v>
      </c>
      <c r="C22" s="122">
        <f t="shared" si="45"/>
        <v>10.874356383455838</v>
      </c>
      <c r="D22" s="34">
        <f t="shared" si="27"/>
        <v>2.48</v>
      </c>
      <c r="E22" s="34"/>
      <c r="F22" s="34">
        <f t="shared" si="7"/>
        <v>26968.403830970481</v>
      </c>
      <c r="G22" s="35"/>
      <c r="H22" s="28">
        <f t="shared" si="28"/>
        <v>557.54999999999995</v>
      </c>
      <c r="I22" s="14">
        <f t="shared" si="8"/>
        <v>6.4706479382137996</v>
      </c>
      <c r="J22" s="31">
        <f t="shared" si="29"/>
        <v>3607.7097579511037</v>
      </c>
      <c r="L22" s="15">
        <f t="shared" si="30"/>
        <v>5</v>
      </c>
      <c r="M22" s="7">
        <f t="shared" si="9"/>
        <v>31.68714357978228</v>
      </c>
      <c r="N22" s="7">
        <f t="shared" si="10"/>
        <v>158.43571789891141</v>
      </c>
      <c r="P22" s="15">
        <f t="shared" si="31"/>
        <v>4</v>
      </c>
      <c r="Q22" s="7">
        <f t="shared" si="11"/>
        <v>43.367614674131453</v>
      </c>
      <c r="R22" s="7">
        <f t="shared" si="12"/>
        <v>173.47045869652581</v>
      </c>
      <c r="T22" s="15">
        <f t="shared" si="32"/>
        <v>2</v>
      </c>
      <c r="U22" s="7">
        <f t="shared" si="13"/>
        <v>20.280247673997291</v>
      </c>
      <c r="V22" s="22">
        <f t="shared" si="14"/>
        <v>40.560495347994582</v>
      </c>
      <c r="W22" s="22"/>
      <c r="X22" s="15">
        <f t="shared" si="33"/>
        <v>0</v>
      </c>
      <c r="Y22" s="7">
        <f t="shared" si="15"/>
        <v>0</v>
      </c>
      <c r="Z22" s="22">
        <f t="shared" si="16"/>
        <v>0</v>
      </c>
      <c r="AB22" s="15">
        <f t="shared" si="17"/>
        <v>5.1247904105070967</v>
      </c>
      <c r="AC22" s="22">
        <f t="shared" si="34"/>
        <v>12.7094802180576</v>
      </c>
      <c r="AE22" s="7">
        <f t="shared" si="35"/>
        <v>75.84</v>
      </c>
      <c r="AF22" s="7">
        <f t="shared" si="18"/>
        <v>145.20239496436767</v>
      </c>
      <c r="AG22" s="22">
        <f t="shared" si="46"/>
        <v>11012.149634097645</v>
      </c>
      <c r="AI22" s="15">
        <f t="shared" si="36"/>
        <v>14</v>
      </c>
      <c r="AJ22" s="7">
        <f t="shared" si="19"/>
        <v>165.62481260955815</v>
      </c>
      <c r="AK22" s="22">
        <f t="shared" si="20"/>
        <v>2318.7473765338141</v>
      </c>
      <c r="AL22" s="22"/>
      <c r="AM22" s="15">
        <f t="shared" si="37"/>
        <v>5</v>
      </c>
      <c r="AN22" s="7">
        <f t="shared" si="38"/>
        <v>301.13602292646931</v>
      </c>
      <c r="AO22" s="22">
        <f t="shared" si="21"/>
        <v>1505.6801146323464</v>
      </c>
      <c r="AQ22" s="7">
        <f t="shared" si="39"/>
        <v>0</v>
      </c>
      <c r="AR22" s="7">
        <f t="shared" si="22"/>
        <v>0</v>
      </c>
      <c r="AS22" s="22">
        <f t="shared" si="40"/>
        <v>0</v>
      </c>
      <c r="AU22" s="34">
        <f t="shared" si="23"/>
        <v>0</v>
      </c>
      <c r="AV22" s="22">
        <f t="shared" si="0"/>
        <v>0</v>
      </c>
      <c r="AX22" s="34">
        <f t="shared" si="24"/>
        <v>0</v>
      </c>
      <c r="AY22" s="22">
        <f t="shared" si="1"/>
        <v>0</v>
      </c>
      <c r="BA22" s="34">
        <f t="shared" si="25"/>
        <v>0</v>
      </c>
      <c r="BB22" s="22">
        <f t="shared" si="2"/>
        <v>0</v>
      </c>
      <c r="BD22" s="22">
        <f t="shared" si="3"/>
        <v>39.68</v>
      </c>
      <c r="BE22" s="7"/>
      <c r="BF22" s="22">
        <f t="shared" si="41"/>
        <v>3236.2084597164576</v>
      </c>
      <c r="BH22" s="22">
        <f t="shared" si="42"/>
        <v>22105.351495092855</v>
      </c>
      <c r="BJ22" s="22">
        <f t="shared" si="4"/>
        <v>4863.0523358776263</v>
      </c>
      <c r="BL22" s="163">
        <f t="shared" si="26"/>
        <v>1.7324033567643593</v>
      </c>
      <c r="BN22" s="7">
        <f t="shared" si="47"/>
        <v>214.81036302088148</v>
      </c>
      <c r="BO22" s="7">
        <f t="shared" si="43"/>
        <v>242.23176006996863</v>
      </c>
      <c r="BP22" s="7">
        <f t="shared" si="44"/>
        <v>213.95999963867115</v>
      </c>
      <c r="BQ22" s="7">
        <v>118.57928106717092</v>
      </c>
    </row>
    <row r="23" spans="1:69" x14ac:dyDescent="0.2">
      <c r="A23" s="8">
        <f t="shared" si="5"/>
        <v>2039</v>
      </c>
      <c r="B23" s="34">
        <f t="shared" si="6"/>
        <v>11222.335787726428</v>
      </c>
      <c r="C23" s="122">
        <f t="shared" si="45"/>
        <v>11.222335787726427</v>
      </c>
      <c r="D23" s="34">
        <f t="shared" si="27"/>
        <v>2.48</v>
      </c>
      <c r="E23" s="34"/>
      <c r="F23" s="34">
        <f t="shared" si="7"/>
        <v>27831.39275356154</v>
      </c>
      <c r="G23" s="35"/>
      <c r="H23" s="28">
        <f t="shared" si="28"/>
        <v>557.54999999999995</v>
      </c>
      <c r="I23" s="14">
        <f t="shared" si="8"/>
        <v>6.4190967571986217</v>
      </c>
      <c r="J23" s="31">
        <f t="shared" si="29"/>
        <v>3578.9673969760911</v>
      </c>
      <c r="L23" s="15">
        <f t="shared" si="30"/>
        <v>5</v>
      </c>
      <c r="M23" s="7">
        <f t="shared" si="9"/>
        <v>31.43469441392854</v>
      </c>
      <c r="N23" s="7">
        <f t="shared" si="10"/>
        <v>157.17347206964268</v>
      </c>
      <c r="P23" s="15">
        <f t="shared" si="31"/>
        <v>4</v>
      </c>
      <c r="Q23" s="7">
        <f t="shared" si="11"/>
        <v>43.022108045489283</v>
      </c>
      <c r="R23" s="7">
        <f t="shared" si="12"/>
        <v>172.08843218195713</v>
      </c>
      <c r="T23" s="15">
        <f t="shared" si="32"/>
        <v>2</v>
      </c>
      <c r="U23" s="7">
        <f t="shared" si="13"/>
        <v>20.118676417322881</v>
      </c>
      <c r="V23" s="22">
        <f t="shared" si="14"/>
        <v>40.237352834645762</v>
      </c>
      <c r="W23" s="22"/>
      <c r="X23" s="15">
        <f t="shared" si="33"/>
        <v>0</v>
      </c>
      <c r="Y23" s="7">
        <f t="shared" si="15"/>
        <v>0</v>
      </c>
      <c r="Z23" s="22">
        <f t="shared" si="16"/>
        <v>0</v>
      </c>
      <c r="AB23" s="15">
        <f t="shared" si="17"/>
        <v>5.2887837036433236</v>
      </c>
      <c r="AC23" s="22">
        <f t="shared" si="34"/>
        <v>13.116183585035442</v>
      </c>
      <c r="AE23" s="7">
        <f t="shared" si="35"/>
        <v>75.84</v>
      </c>
      <c r="AF23" s="7">
        <f t="shared" si="18"/>
        <v>149.84887160322745</v>
      </c>
      <c r="AG23" s="22">
        <f t="shared" si="46"/>
        <v>11364.53842238877</v>
      </c>
      <c r="AI23" s="15">
        <f t="shared" si="36"/>
        <v>14</v>
      </c>
      <c r="AJ23" s="7">
        <f t="shared" si="19"/>
        <v>170.92480661306402</v>
      </c>
      <c r="AK23" s="22">
        <f t="shared" si="20"/>
        <v>2392.9472925828964</v>
      </c>
      <c r="AL23" s="22"/>
      <c r="AM23" s="15">
        <f t="shared" si="37"/>
        <v>5</v>
      </c>
      <c r="AN23" s="7">
        <f t="shared" si="38"/>
        <v>310.77237566011638</v>
      </c>
      <c r="AO23" s="22">
        <f t="shared" si="21"/>
        <v>1553.8618783005818</v>
      </c>
      <c r="AQ23" s="7">
        <f t="shared" si="39"/>
        <v>0</v>
      </c>
      <c r="AR23" s="7">
        <f t="shared" si="22"/>
        <v>0</v>
      </c>
      <c r="AS23" s="22">
        <f t="shared" si="40"/>
        <v>0</v>
      </c>
      <c r="AU23" s="34">
        <f t="shared" si="23"/>
        <v>0</v>
      </c>
      <c r="AV23" s="22">
        <f t="shared" si="0"/>
        <v>0</v>
      </c>
      <c r="AX23" s="34">
        <f t="shared" si="24"/>
        <v>0</v>
      </c>
      <c r="AY23" s="22">
        <f t="shared" si="1"/>
        <v>0</v>
      </c>
      <c r="BA23" s="34">
        <f t="shared" si="25"/>
        <v>0</v>
      </c>
      <c r="BB23" s="22">
        <f t="shared" si="2"/>
        <v>0</v>
      </c>
      <c r="BD23" s="22">
        <f t="shared" si="3"/>
        <v>39.68</v>
      </c>
      <c r="BE23" s="7"/>
      <c r="BF23" s="22">
        <f t="shared" si="41"/>
        <v>3339.7671304273849</v>
      </c>
      <c r="BH23" s="22">
        <f t="shared" si="42"/>
        <v>22652.377561347006</v>
      </c>
      <c r="BJ23" s="22">
        <f t="shared" si="4"/>
        <v>5179.0151922145342</v>
      </c>
      <c r="BL23" s="163">
        <f t="shared" si="26"/>
        <v>1.7182118762504033</v>
      </c>
      <c r="BN23" s="7">
        <f t="shared" si="47"/>
        <v>221.6842946375497</v>
      </c>
      <c r="BO23" s="7">
        <f t="shared" si="43"/>
        <v>249.98317639220764</v>
      </c>
      <c r="BP23" s="7">
        <f t="shared" si="44"/>
        <v>220.80671962710863</v>
      </c>
      <c r="BQ23" s="7">
        <v>117.63456856831245</v>
      </c>
    </row>
    <row r="24" spans="1:69" x14ac:dyDescent="0.2">
      <c r="A24" s="8">
        <f t="shared" si="5"/>
        <v>2040</v>
      </c>
      <c r="B24" s="34">
        <f t="shared" si="6"/>
        <v>11581.450532933675</v>
      </c>
      <c r="C24" s="122">
        <f t="shared" si="45"/>
        <v>11.581450532933676</v>
      </c>
      <c r="D24" s="34">
        <f t="shared" si="27"/>
        <v>2.48</v>
      </c>
      <c r="E24" s="34"/>
      <c r="F24" s="34">
        <f t="shared" si="7"/>
        <v>28721.997321675513</v>
      </c>
      <c r="G24" s="35"/>
      <c r="H24" s="28">
        <f t="shared" si="28"/>
        <v>557.54999999999995</v>
      </c>
      <c r="I24" s="14">
        <f t="shared" si="8"/>
        <v>6.4006110807257315</v>
      </c>
      <c r="J24" s="31">
        <f t="shared" si="29"/>
        <v>3568.6607080586314</v>
      </c>
      <c r="L24" s="15">
        <f t="shared" si="30"/>
        <v>5</v>
      </c>
      <c r="M24" s="7">
        <f t="shared" si="9"/>
        <v>31.344168968848059</v>
      </c>
      <c r="N24" s="7">
        <f t="shared" si="10"/>
        <v>156.7208448442403</v>
      </c>
      <c r="P24" s="15">
        <f t="shared" si="31"/>
        <v>4</v>
      </c>
      <c r="Q24" s="7">
        <f t="shared" si="11"/>
        <v>42.898213235893401</v>
      </c>
      <c r="R24" s="7">
        <f t="shared" si="12"/>
        <v>171.5928529435736</v>
      </c>
      <c r="T24" s="15">
        <f t="shared" si="32"/>
        <v>2</v>
      </c>
      <c r="U24" s="7">
        <f t="shared" si="13"/>
        <v>20.060738773230458</v>
      </c>
      <c r="V24" s="22">
        <f t="shared" si="14"/>
        <v>40.121477546460916</v>
      </c>
      <c r="W24" s="22"/>
      <c r="X24" s="15">
        <f t="shared" si="33"/>
        <v>0</v>
      </c>
      <c r="Y24" s="7">
        <f t="shared" si="15"/>
        <v>0</v>
      </c>
      <c r="Z24" s="22">
        <f t="shared" si="16"/>
        <v>0</v>
      </c>
      <c r="AB24" s="15">
        <f t="shared" si="17"/>
        <v>5.4580247821599102</v>
      </c>
      <c r="AC24" s="22">
        <f t="shared" si="34"/>
        <v>13.535901459756577</v>
      </c>
      <c r="AE24" s="7">
        <f t="shared" si="35"/>
        <v>75.84</v>
      </c>
      <c r="AF24" s="7">
        <f t="shared" si="18"/>
        <v>154.64403549453073</v>
      </c>
      <c r="AG24" s="22">
        <f t="shared" si="46"/>
        <v>11728.203651905211</v>
      </c>
      <c r="AI24" s="15">
        <f t="shared" si="36"/>
        <v>14</v>
      </c>
      <c r="AJ24" s="7">
        <f t="shared" si="19"/>
        <v>176.39440042468206</v>
      </c>
      <c r="AK24" s="22">
        <f t="shared" si="20"/>
        <v>2469.5216059455488</v>
      </c>
      <c r="AL24" s="22"/>
      <c r="AM24" s="15">
        <f t="shared" si="37"/>
        <v>5</v>
      </c>
      <c r="AN24" s="7">
        <f t="shared" si="38"/>
        <v>320.71709168124011</v>
      </c>
      <c r="AO24" s="22">
        <f t="shared" si="21"/>
        <v>1603.5854584062006</v>
      </c>
      <c r="AQ24" s="7">
        <f t="shared" si="39"/>
        <v>0</v>
      </c>
      <c r="AR24" s="7">
        <f t="shared" si="22"/>
        <v>0</v>
      </c>
      <c r="AS24" s="22">
        <f t="shared" si="40"/>
        <v>0</v>
      </c>
      <c r="AU24" s="34">
        <f t="shared" si="23"/>
        <v>0</v>
      </c>
      <c r="AV24" s="22">
        <f t="shared" si="0"/>
        <v>0</v>
      </c>
      <c r="AX24" s="34">
        <f t="shared" si="24"/>
        <v>0</v>
      </c>
      <c r="AY24" s="22">
        <f t="shared" si="1"/>
        <v>0</v>
      </c>
      <c r="BA24" s="34">
        <f t="shared" si="25"/>
        <v>0</v>
      </c>
      <c r="BB24" s="22">
        <f t="shared" si="2"/>
        <v>0</v>
      </c>
      <c r="BD24" s="22">
        <f t="shared" si="3"/>
        <v>39.68</v>
      </c>
      <c r="BE24" s="7"/>
      <c r="BF24" s="22">
        <f t="shared" si="41"/>
        <v>3446.6396786010614</v>
      </c>
      <c r="BH24" s="22">
        <f t="shared" si="42"/>
        <v>23238.262179710684</v>
      </c>
      <c r="BJ24" s="22">
        <f t="shared" si="4"/>
        <v>5483.7351419648294</v>
      </c>
      <c r="BL24" s="163">
        <f t="shared" si="26"/>
        <v>1.7063063852447282</v>
      </c>
      <c r="BN24" s="7">
        <f t="shared" si="47"/>
        <v>228.77819206595129</v>
      </c>
      <c r="BO24" s="7">
        <f t="shared" si="43"/>
        <v>257.98263803675826</v>
      </c>
      <c r="BP24" s="7">
        <f t="shared" si="44"/>
        <v>227.87253465517611</v>
      </c>
      <c r="BQ24" s="7">
        <v>117.29580524087962</v>
      </c>
    </row>
    <row r="25" spans="1:69" x14ac:dyDescent="0.2">
      <c r="A25" s="8">
        <f t="shared" si="5"/>
        <v>2041</v>
      </c>
      <c r="B25" s="34">
        <f t="shared" si="6"/>
        <v>11952.056949987555</v>
      </c>
      <c r="C25" s="122">
        <f t="shared" si="45"/>
        <v>11.952056949987554</v>
      </c>
      <c r="D25" s="34">
        <f t="shared" si="27"/>
        <v>2.48</v>
      </c>
      <c r="E25" s="34"/>
      <c r="F25" s="34">
        <f t="shared" si="7"/>
        <v>29641.101235969134</v>
      </c>
      <c r="G25" s="35"/>
      <c r="H25" s="28">
        <f t="shared" si="28"/>
        <v>557.54999999999995</v>
      </c>
      <c r="I25" s="14">
        <f t="shared" si="8"/>
        <v>6.4051460753658853</v>
      </c>
      <c r="J25" s="31">
        <f t="shared" si="29"/>
        <v>3571.189194320249</v>
      </c>
      <c r="L25" s="15">
        <f t="shared" si="30"/>
        <v>5</v>
      </c>
      <c r="M25" s="7">
        <f t="shared" si="9"/>
        <v>31.366377104365288</v>
      </c>
      <c r="N25" s="7">
        <f t="shared" si="10"/>
        <v>156.83188552182645</v>
      </c>
      <c r="P25" s="15">
        <f t="shared" si="31"/>
        <v>4</v>
      </c>
      <c r="Q25" s="7">
        <f t="shared" si="11"/>
        <v>42.928607703647081</v>
      </c>
      <c r="R25" s="7">
        <f t="shared" si="12"/>
        <v>171.71443081458833</v>
      </c>
      <c r="T25" s="15">
        <f t="shared" si="32"/>
        <v>2</v>
      </c>
      <c r="U25" s="7">
        <f t="shared" si="13"/>
        <v>20.074952313416972</v>
      </c>
      <c r="V25" s="22">
        <f t="shared" si="14"/>
        <v>40.149904626833944</v>
      </c>
      <c r="W25" s="22"/>
      <c r="X25" s="15">
        <f t="shared" si="33"/>
        <v>0</v>
      </c>
      <c r="Y25" s="7">
        <f t="shared" si="15"/>
        <v>0</v>
      </c>
      <c r="Z25" s="22">
        <f t="shared" si="16"/>
        <v>0</v>
      </c>
      <c r="AB25" s="15">
        <f t="shared" si="17"/>
        <v>5.6326815751890278</v>
      </c>
      <c r="AC25" s="22">
        <f t="shared" si="34"/>
        <v>13.969050306468789</v>
      </c>
      <c r="AE25" s="7">
        <f t="shared" si="35"/>
        <v>75.84</v>
      </c>
      <c r="AF25" s="7">
        <f t="shared" si="18"/>
        <v>159.59264463035572</v>
      </c>
      <c r="AG25" s="22">
        <f t="shared" si="46"/>
        <v>12103.506168766178</v>
      </c>
      <c r="AI25" s="15">
        <f t="shared" si="36"/>
        <v>14</v>
      </c>
      <c r="AJ25" s="7">
        <f t="shared" si="19"/>
        <v>182.03902123827189</v>
      </c>
      <c r="AK25" s="22">
        <f t="shared" si="20"/>
        <v>2548.5462973358062</v>
      </c>
      <c r="AL25" s="22"/>
      <c r="AM25" s="15">
        <f t="shared" si="37"/>
        <v>5</v>
      </c>
      <c r="AN25" s="7">
        <f t="shared" si="38"/>
        <v>330.98003861503986</v>
      </c>
      <c r="AO25" s="22">
        <f t="shared" si="21"/>
        <v>1654.9001930751992</v>
      </c>
      <c r="AQ25" s="7">
        <f t="shared" si="39"/>
        <v>0</v>
      </c>
      <c r="AR25" s="7">
        <f t="shared" si="22"/>
        <v>0</v>
      </c>
      <c r="AS25" s="22">
        <f t="shared" si="40"/>
        <v>0</v>
      </c>
      <c r="AU25" s="34">
        <f t="shared" si="23"/>
        <v>0</v>
      </c>
      <c r="AV25" s="22">
        <f t="shared" si="0"/>
        <v>0</v>
      </c>
      <c r="AX25" s="34">
        <f t="shared" si="24"/>
        <v>0</v>
      </c>
      <c r="AY25" s="22">
        <f t="shared" si="1"/>
        <v>0</v>
      </c>
      <c r="BA25" s="34">
        <f t="shared" si="25"/>
        <v>0</v>
      </c>
      <c r="BB25" s="22">
        <f t="shared" si="2"/>
        <v>0</v>
      </c>
      <c r="BD25" s="22">
        <f t="shared" si="3"/>
        <v>39.68</v>
      </c>
      <c r="BE25" s="7"/>
      <c r="BF25" s="22">
        <f t="shared" si="41"/>
        <v>3556.9321483162958</v>
      </c>
      <c r="BH25" s="22">
        <f t="shared" si="42"/>
        <v>23857.419273083444</v>
      </c>
      <c r="BJ25" s="22">
        <f t="shared" si="4"/>
        <v>5783.6819628856902</v>
      </c>
      <c r="BL25" s="163">
        <f t="shared" si="26"/>
        <v>1.6959866809995221</v>
      </c>
      <c r="BN25" s="7">
        <f t="shared" si="47"/>
        <v>236.09909421206174</v>
      </c>
      <c r="BO25" s="7">
        <f t="shared" si="43"/>
        <v>266.23808245393451</v>
      </c>
      <c r="BP25" s="7">
        <f t="shared" si="44"/>
        <v>235.16445576414174</v>
      </c>
      <c r="BQ25" s="7">
        <v>117.37891228196852</v>
      </c>
    </row>
    <row r="26" spans="1:69" x14ac:dyDescent="0.2">
      <c r="A26" s="8">
        <f t="shared" si="5"/>
        <v>2042</v>
      </c>
      <c r="B26" s="34">
        <f t="shared" si="6"/>
        <v>12334.522772387156</v>
      </c>
      <c r="C26" s="122">
        <f t="shared" si="45"/>
        <v>12.334522772387157</v>
      </c>
      <c r="D26" s="34">
        <f t="shared" si="27"/>
        <v>2.48</v>
      </c>
      <c r="E26" s="34"/>
      <c r="F26" s="34">
        <f t="shared" si="7"/>
        <v>30589.616475520146</v>
      </c>
      <c r="G26" s="35"/>
      <c r="H26" s="28">
        <f t="shared" si="28"/>
        <v>557.54999999999995</v>
      </c>
      <c r="I26" s="14">
        <f t="shared" si="8"/>
        <v>6.4379408461716539</v>
      </c>
      <c r="J26" s="31">
        <f t="shared" ref="J26:J39" si="48">+H26*I26</f>
        <v>3589.4739187830055</v>
      </c>
      <c r="L26" s="15">
        <f t="shared" si="30"/>
        <v>5</v>
      </c>
      <c r="M26" s="7">
        <f t="shared" si="9"/>
        <v>31.526975026105305</v>
      </c>
      <c r="N26" s="7">
        <f t="shared" ref="N26:N39" si="49">+L26*M26</f>
        <v>157.63487513052652</v>
      </c>
      <c r="P26" s="15">
        <f t="shared" si="31"/>
        <v>4</v>
      </c>
      <c r="Q26" s="7">
        <f t="shared" si="11"/>
        <v>43.148405009451928</v>
      </c>
      <c r="R26" s="7">
        <f t="shared" si="12"/>
        <v>172.59362003780771</v>
      </c>
      <c r="T26" s="15">
        <f t="shared" si="32"/>
        <v>2</v>
      </c>
      <c r="U26" s="7">
        <f t="shared" si="13"/>
        <v>20.177737394710789</v>
      </c>
      <c r="V26" s="22">
        <f t="shared" ref="V26:V39" si="50">+T26*U26</f>
        <v>40.355474789421578</v>
      </c>
      <c r="W26" s="22"/>
      <c r="X26" s="15">
        <f t="shared" si="33"/>
        <v>0</v>
      </c>
      <c r="Y26" s="7">
        <f t="shared" si="15"/>
        <v>0</v>
      </c>
      <c r="Z26" s="22">
        <f t="shared" si="16"/>
        <v>0</v>
      </c>
      <c r="AB26" s="15">
        <f t="shared" si="17"/>
        <v>5.8129273855950769</v>
      </c>
      <c r="AC26" s="22">
        <f t="shared" si="34"/>
        <v>14.41605991627579</v>
      </c>
      <c r="AE26" s="7">
        <f t="shared" si="35"/>
        <v>75.84</v>
      </c>
      <c r="AF26" s="7">
        <f t="shared" si="18"/>
        <v>164.69960925852712</v>
      </c>
      <c r="AG26" s="22">
        <f t="shared" si="46"/>
        <v>12490.818366166697</v>
      </c>
      <c r="AI26" s="15">
        <f t="shared" si="36"/>
        <v>14</v>
      </c>
      <c r="AJ26" s="7">
        <f t="shared" si="19"/>
        <v>187.86426991789659</v>
      </c>
      <c r="AK26" s="22">
        <f t="shared" si="20"/>
        <v>2630.0997788505524</v>
      </c>
      <c r="AL26" s="22"/>
      <c r="AM26" s="15">
        <f t="shared" si="37"/>
        <v>5</v>
      </c>
      <c r="AN26" s="7">
        <f t="shared" si="38"/>
        <v>341.57139985072109</v>
      </c>
      <c r="AO26" s="22">
        <f t="shared" si="21"/>
        <v>1707.8569992536054</v>
      </c>
      <c r="AQ26" s="7">
        <f t="shared" si="39"/>
        <v>0</v>
      </c>
      <c r="AR26" s="7">
        <f t="shared" si="22"/>
        <v>0</v>
      </c>
      <c r="AS26" s="22">
        <f t="shared" si="40"/>
        <v>0</v>
      </c>
      <c r="AU26" s="34">
        <f t="shared" si="23"/>
        <v>0</v>
      </c>
      <c r="AV26" s="22">
        <f t="shared" si="0"/>
        <v>0</v>
      </c>
      <c r="AX26" s="34">
        <f t="shared" si="24"/>
        <v>0</v>
      </c>
      <c r="AY26" s="22">
        <f t="shared" si="1"/>
        <v>0</v>
      </c>
      <c r="BA26" s="34">
        <f t="shared" si="25"/>
        <v>0</v>
      </c>
      <c r="BB26" s="22">
        <f t="shared" si="2"/>
        <v>0</v>
      </c>
      <c r="BD26" s="22">
        <f t="shared" si="3"/>
        <v>39.68</v>
      </c>
      <c r="BE26" s="7"/>
      <c r="BF26" s="22">
        <f t="shared" si="41"/>
        <v>3670.7539770624176</v>
      </c>
      <c r="BH26" s="22">
        <f t="shared" si="42"/>
        <v>24513.683069990311</v>
      </c>
      <c r="BJ26" s="22">
        <f t="shared" si="4"/>
        <v>6075.933405529835</v>
      </c>
      <c r="BL26" s="163">
        <f t="shared" si="26"/>
        <v>1.6873906629370645</v>
      </c>
      <c r="BN26" s="7">
        <f t="shared" si="47"/>
        <v>243.65426522684771</v>
      </c>
      <c r="BO26" s="7">
        <f t="shared" si="43"/>
        <v>274.75770109246042</v>
      </c>
      <c r="BP26" s="7">
        <f t="shared" si="44"/>
        <v>242.68971834859428</v>
      </c>
      <c r="BQ26" s="7">
        <v>117.9799000627972</v>
      </c>
    </row>
    <row r="27" spans="1:69" x14ac:dyDescent="0.2">
      <c r="A27" s="8">
        <f t="shared" si="5"/>
        <v>2043</v>
      </c>
      <c r="B27" s="34">
        <f t="shared" si="6"/>
        <v>12729.227501103544</v>
      </c>
      <c r="C27" s="122">
        <f t="shared" si="45"/>
        <v>12.729227501103544</v>
      </c>
      <c r="D27" s="34">
        <f t="shared" si="27"/>
        <v>2.48</v>
      </c>
      <c r="E27" s="34"/>
      <c r="F27" s="34">
        <f t="shared" si="7"/>
        <v>31568.484202736789</v>
      </c>
      <c r="G27" s="35"/>
      <c r="H27" s="28">
        <f t="shared" si="28"/>
        <v>557.54999999999995</v>
      </c>
      <c r="I27" s="14">
        <f t="shared" si="8"/>
        <v>6.4903024438501484</v>
      </c>
      <c r="J27" s="31">
        <f t="shared" si="48"/>
        <v>3618.6681275686501</v>
      </c>
      <c r="L27" s="15">
        <f t="shared" si="30"/>
        <v>5</v>
      </c>
      <c r="M27" s="7">
        <f t="shared" si="9"/>
        <v>31.783392850030875</v>
      </c>
      <c r="N27" s="7">
        <f t="shared" si="49"/>
        <v>158.91696425015436</v>
      </c>
      <c r="P27" s="15">
        <f t="shared" si="31"/>
        <v>4</v>
      </c>
      <c r="Q27" s="7">
        <f t="shared" si="11"/>
        <v>43.499343217422137</v>
      </c>
      <c r="R27" s="7">
        <f t="shared" si="12"/>
        <v>173.99737286968855</v>
      </c>
      <c r="T27" s="15">
        <f t="shared" si="32"/>
        <v>2</v>
      </c>
      <c r="U27" s="7">
        <f t="shared" si="13"/>
        <v>20.34184865214063</v>
      </c>
      <c r="V27" s="22">
        <f t="shared" si="50"/>
        <v>40.68369730428126</v>
      </c>
      <c r="W27" s="22"/>
      <c r="X27" s="15">
        <f t="shared" si="33"/>
        <v>0</v>
      </c>
      <c r="Y27" s="7">
        <f t="shared" si="15"/>
        <v>0</v>
      </c>
      <c r="Z27" s="22">
        <f t="shared" si="16"/>
        <v>0</v>
      </c>
      <c r="AB27" s="15">
        <f t="shared" si="17"/>
        <v>5.9989410619341195</v>
      </c>
      <c r="AC27" s="22">
        <f t="shared" si="34"/>
        <v>14.877373833596616</v>
      </c>
      <c r="AE27" s="7">
        <f t="shared" si="35"/>
        <v>75.84</v>
      </c>
      <c r="AF27" s="7">
        <f t="shared" si="18"/>
        <v>169.96999675479998</v>
      </c>
      <c r="AG27" s="22">
        <f t="shared" si="46"/>
        <v>12890.524553884032</v>
      </c>
      <c r="AI27" s="15">
        <f t="shared" si="36"/>
        <v>14</v>
      </c>
      <c r="AJ27" s="7">
        <f t="shared" si="19"/>
        <v>193.8759265552693</v>
      </c>
      <c r="AK27" s="22">
        <f t="shared" si="20"/>
        <v>2714.26297177377</v>
      </c>
      <c r="AL27" s="22"/>
      <c r="AM27" s="15">
        <f t="shared" si="37"/>
        <v>5</v>
      </c>
      <c r="AN27" s="7">
        <f t="shared" si="38"/>
        <v>352.50168464594418</v>
      </c>
      <c r="AO27" s="22">
        <f t="shared" si="21"/>
        <v>1762.5084232297208</v>
      </c>
      <c r="AQ27" s="7">
        <f t="shared" si="39"/>
        <v>0</v>
      </c>
      <c r="AR27" s="7">
        <f t="shared" si="22"/>
        <v>0</v>
      </c>
      <c r="AS27" s="22">
        <f t="shared" si="40"/>
        <v>0</v>
      </c>
      <c r="AU27" s="34">
        <f t="shared" si="23"/>
        <v>0</v>
      </c>
      <c r="AV27" s="22">
        <f t="shared" si="0"/>
        <v>0</v>
      </c>
      <c r="AX27" s="34">
        <f t="shared" si="24"/>
        <v>0</v>
      </c>
      <c r="AY27" s="22">
        <f t="shared" si="1"/>
        <v>0</v>
      </c>
      <c r="BA27" s="34">
        <f t="shared" si="25"/>
        <v>0</v>
      </c>
      <c r="BB27" s="22">
        <f t="shared" si="2"/>
        <v>0</v>
      </c>
      <c r="BD27" s="22">
        <f t="shared" si="3"/>
        <v>39.68</v>
      </c>
      <c r="BE27" s="7"/>
      <c r="BF27" s="22">
        <f t="shared" si="41"/>
        <v>3788.2181043284145</v>
      </c>
      <c r="BH27" s="22">
        <f t="shared" si="42"/>
        <v>25202.337589042305</v>
      </c>
      <c r="BJ27" s="22">
        <f t="shared" si="4"/>
        <v>6366.1466136944837</v>
      </c>
      <c r="BL27" s="163">
        <f t="shared" si="26"/>
        <v>1.6799570483015058</v>
      </c>
      <c r="BN27" s="7">
        <f t="shared" si="47"/>
        <v>251.45120171410684</v>
      </c>
      <c r="BO27" s="7">
        <f t="shared" si="43"/>
        <v>283.54994752741914</v>
      </c>
      <c r="BP27" s="7">
        <f t="shared" si="44"/>
        <v>250.4557893357493</v>
      </c>
      <c r="BQ27" s="7">
        <v>118.93946403035226</v>
      </c>
    </row>
    <row r="28" spans="1:69" x14ac:dyDescent="0.2">
      <c r="A28" s="8">
        <f t="shared" si="5"/>
        <v>2044</v>
      </c>
      <c r="B28" s="34">
        <f t="shared" si="6"/>
        <v>13136.562781138857</v>
      </c>
      <c r="C28" s="122">
        <f t="shared" si="45"/>
        <v>13.136562781138856</v>
      </c>
      <c r="D28" s="34">
        <f t="shared" si="27"/>
        <v>2.48</v>
      </c>
      <c r="E28" s="34"/>
      <c r="F28" s="34">
        <f t="shared" si="7"/>
        <v>32578.675697224364</v>
      </c>
      <c r="G28" s="35"/>
      <c r="H28" s="28">
        <f t="shared" si="28"/>
        <v>557.54999999999995</v>
      </c>
      <c r="I28" s="14">
        <f t="shared" si="8"/>
        <v>6.5640455860284277</v>
      </c>
      <c r="J28" s="31">
        <f t="shared" si="48"/>
        <v>3659.7836164901496</v>
      </c>
      <c r="L28" s="15">
        <f t="shared" si="30"/>
        <v>5</v>
      </c>
      <c r="M28" s="7">
        <f t="shared" si="9"/>
        <v>32.144517355109805</v>
      </c>
      <c r="N28" s="7">
        <f t="shared" si="49"/>
        <v>160.72258677554902</v>
      </c>
      <c r="P28" s="15">
        <f t="shared" si="31"/>
        <v>4</v>
      </c>
      <c r="Q28" s="7">
        <f t="shared" si="11"/>
        <v>43.993584938712587</v>
      </c>
      <c r="R28" s="7">
        <f t="shared" si="12"/>
        <v>175.97433975485035</v>
      </c>
      <c r="T28" s="15">
        <f t="shared" si="32"/>
        <v>2</v>
      </c>
      <c r="U28" s="7">
        <f t="shared" si="13"/>
        <v>20.572973757681009</v>
      </c>
      <c r="V28" s="22">
        <f t="shared" si="50"/>
        <v>41.145947515362018</v>
      </c>
      <c r="W28" s="22"/>
      <c r="X28" s="15">
        <f t="shared" si="33"/>
        <v>0</v>
      </c>
      <c r="Y28" s="7">
        <f t="shared" si="15"/>
        <v>0</v>
      </c>
      <c r="Z28" s="22">
        <f t="shared" si="16"/>
        <v>0</v>
      </c>
      <c r="AB28" s="15">
        <f t="shared" si="17"/>
        <v>6.1909071759160117</v>
      </c>
      <c r="AC28" s="22">
        <f t="shared" si="34"/>
        <v>15.353449796271709</v>
      </c>
      <c r="AE28" s="7">
        <f t="shared" si="35"/>
        <v>75.84</v>
      </c>
      <c r="AF28" s="7">
        <f t="shared" si="18"/>
        <v>175.4090366509536</v>
      </c>
      <c r="AG28" s="22">
        <f t="shared" si="46"/>
        <v>13303.021339608322</v>
      </c>
      <c r="AI28" s="15">
        <f t="shared" si="36"/>
        <v>14</v>
      </c>
      <c r="AJ28" s="7">
        <f t="shared" si="19"/>
        <v>200.07995620503792</v>
      </c>
      <c r="AK28" s="22">
        <f t="shared" si="20"/>
        <v>2801.1193868705309</v>
      </c>
      <c r="AL28" s="22"/>
      <c r="AM28" s="15">
        <f t="shared" si="37"/>
        <v>5</v>
      </c>
      <c r="AN28" s="7">
        <f t="shared" si="38"/>
        <v>363.78173855461438</v>
      </c>
      <c r="AO28" s="22">
        <f t="shared" si="21"/>
        <v>1818.9086927730718</v>
      </c>
      <c r="AQ28" s="7">
        <f t="shared" si="39"/>
        <v>0</v>
      </c>
      <c r="AR28" s="7">
        <f t="shared" si="22"/>
        <v>0</v>
      </c>
      <c r="AS28" s="22">
        <f t="shared" si="40"/>
        <v>0</v>
      </c>
      <c r="AU28" s="34">
        <f t="shared" si="23"/>
        <v>0</v>
      </c>
      <c r="AV28" s="22">
        <f t="shared" si="0"/>
        <v>0</v>
      </c>
      <c r="AX28" s="34">
        <f t="shared" si="24"/>
        <v>0</v>
      </c>
      <c r="AY28" s="22">
        <f t="shared" si="1"/>
        <v>0</v>
      </c>
      <c r="BA28" s="34">
        <f t="shared" si="25"/>
        <v>0</v>
      </c>
      <c r="BB28" s="22">
        <f t="shared" si="2"/>
        <v>0</v>
      </c>
      <c r="BD28" s="22">
        <f t="shared" si="3"/>
        <v>39.68</v>
      </c>
      <c r="BE28" s="7"/>
      <c r="BF28" s="22">
        <f t="shared" si="41"/>
        <v>3909.4410836669235</v>
      </c>
      <c r="BH28" s="22">
        <f t="shared" si="42"/>
        <v>25925.15044325103</v>
      </c>
      <c r="BJ28" s="22">
        <f t="shared" si="4"/>
        <v>6653.5252539733337</v>
      </c>
      <c r="BL28" s="163">
        <f t="shared" si="26"/>
        <v>1.6736777346681337</v>
      </c>
      <c r="BN28" s="7">
        <f t="shared" si="47"/>
        <v>259.49764016895824</v>
      </c>
      <c r="BO28" s="7">
        <f t="shared" si="43"/>
        <v>292.62354584829654</v>
      </c>
      <c r="BP28" s="7">
        <f t="shared" si="44"/>
        <v>258.47037459449325</v>
      </c>
      <c r="BQ28" s="7">
        <v>120.29086019139086</v>
      </c>
    </row>
    <row r="29" spans="1:69" x14ac:dyDescent="0.2">
      <c r="A29" s="8">
        <f t="shared" si="5"/>
        <v>2045</v>
      </c>
      <c r="B29" s="34">
        <f t="shared" si="6"/>
        <v>13556.932790135299</v>
      </c>
      <c r="C29" s="122">
        <f t="shared" si="45"/>
        <v>13.556932790135299</v>
      </c>
      <c r="D29" s="34">
        <f t="shared" si="27"/>
        <v>2.48</v>
      </c>
      <c r="E29" s="34"/>
      <c r="F29" s="34">
        <f t="shared" si="7"/>
        <v>33621.193319535538</v>
      </c>
      <c r="G29" s="35"/>
      <c r="H29" s="28">
        <f t="shared" si="28"/>
        <v>557.54999999999995</v>
      </c>
      <c r="I29" s="14">
        <f t="shared" si="8"/>
        <v>6.6512231628253895</v>
      </c>
      <c r="J29" s="31">
        <f t="shared" si="48"/>
        <v>3708.3894744332956</v>
      </c>
      <c r="L29" s="15">
        <f t="shared" si="30"/>
        <v>5</v>
      </c>
      <c r="M29" s="7">
        <f t="shared" si="9"/>
        <v>32.57143107677728</v>
      </c>
      <c r="N29" s="7">
        <f t="shared" si="49"/>
        <v>162.85715538388641</v>
      </c>
      <c r="P29" s="15">
        <f t="shared" si="31"/>
        <v>4</v>
      </c>
      <c r="Q29" s="7">
        <f t="shared" si="11"/>
        <v>44.577867006730457</v>
      </c>
      <c r="R29" s="7">
        <f t="shared" si="12"/>
        <v>178.31146802692183</v>
      </c>
      <c r="T29" s="15">
        <f t="shared" si="32"/>
        <v>2</v>
      </c>
      <c r="U29" s="7">
        <f t="shared" si="13"/>
        <v>20.846204949664134</v>
      </c>
      <c r="V29" s="22">
        <f t="shared" si="50"/>
        <v>41.692409899328268</v>
      </c>
      <c r="W29" s="22"/>
      <c r="X29" s="15">
        <f t="shared" si="33"/>
        <v>0</v>
      </c>
      <c r="Y29" s="7">
        <f t="shared" si="15"/>
        <v>0</v>
      </c>
      <c r="Z29" s="22">
        <f t="shared" si="16"/>
        <v>0</v>
      </c>
      <c r="AB29" s="15">
        <f t="shared" si="17"/>
        <v>6.3890162055453246</v>
      </c>
      <c r="AC29" s="22">
        <f t="shared" si="34"/>
        <v>15.844760189752405</v>
      </c>
      <c r="AE29" s="7">
        <f t="shared" si="35"/>
        <v>75.84</v>
      </c>
      <c r="AF29" s="7">
        <f t="shared" si="18"/>
        <v>181.02212582378411</v>
      </c>
      <c r="AG29" s="22">
        <f t="shared" si="46"/>
        <v>13728.718022475787</v>
      </c>
      <c r="AI29" s="15">
        <f t="shared" si="36"/>
        <v>14</v>
      </c>
      <c r="AJ29" s="7">
        <f t="shared" si="19"/>
        <v>206.48251480359912</v>
      </c>
      <c r="AK29" s="22">
        <f t="shared" si="20"/>
        <v>2890.7552072503877</v>
      </c>
      <c r="AL29" s="22"/>
      <c r="AM29" s="15">
        <f t="shared" si="37"/>
        <v>5</v>
      </c>
      <c r="AN29" s="7">
        <f t="shared" si="38"/>
        <v>375.42275418836198</v>
      </c>
      <c r="AO29" s="22">
        <f t="shared" si="21"/>
        <v>1877.1137709418099</v>
      </c>
      <c r="AQ29" s="7">
        <f t="shared" si="39"/>
        <v>0</v>
      </c>
      <c r="AR29" s="7">
        <f t="shared" si="22"/>
        <v>0</v>
      </c>
      <c r="AS29" s="22">
        <f t="shared" si="40"/>
        <v>0</v>
      </c>
      <c r="AU29" s="34">
        <f t="shared" si="23"/>
        <v>0</v>
      </c>
      <c r="AV29" s="22">
        <f t="shared" si="0"/>
        <v>0</v>
      </c>
      <c r="AX29" s="34">
        <f t="shared" si="24"/>
        <v>0</v>
      </c>
      <c r="AY29" s="22">
        <f t="shared" si="1"/>
        <v>0</v>
      </c>
      <c r="BA29" s="34">
        <f t="shared" si="25"/>
        <v>0</v>
      </c>
      <c r="BB29" s="22">
        <f t="shared" si="2"/>
        <v>0</v>
      </c>
      <c r="BD29" s="22">
        <f t="shared" si="3"/>
        <v>39.68</v>
      </c>
      <c r="BE29" s="7"/>
      <c r="BF29" s="22">
        <f t="shared" si="41"/>
        <v>4034.5431983442645</v>
      </c>
      <c r="BH29" s="22">
        <f t="shared" si="42"/>
        <v>26677.905466945438</v>
      </c>
      <c r="BJ29" s="22">
        <f t="shared" si="4"/>
        <v>6943.2878525900996</v>
      </c>
      <c r="BL29" s="163">
        <f t="shared" si="26"/>
        <v>1.6680962016094545</v>
      </c>
      <c r="BN29" s="7">
        <f t="shared" si="47"/>
        <v>267.80156465436488</v>
      </c>
      <c r="BO29" s="7">
        <f t="shared" si="43"/>
        <v>301.98749931544205</v>
      </c>
      <c r="BP29" s="7">
        <f t="shared" si="44"/>
        <v>266.74142658151703</v>
      </c>
      <c r="BQ29" s="7">
        <v>121.88845203697896</v>
      </c>
    </row>
    <row r="30" spans="1:69" x14ac:dyDescent="0.2">
      <c r="A30" s="8">
        <f t="shared" si="5"/>
        <v>2046</v>
      </c>
      <c r="B30" s="34">
        <f t="shared" si="6"/>
        <v>13990.754639419629</v>
      </c>
      <c r="C30" s="122">
        <f t="shared" si="45"/>
        <v>13.990754639419629</v>
      </c>
      <c r="D30" s="34">
        <f t="shared" si="27"/>
        <v>2.48</v>
      </c>
      <c r="E30" s="34"/>
      <c r="F30" s="34">
        <f t="shared" si="7"/>
        <v>34697.071505760679</v>
      </c>
      <c r="G30" s="35"/>
      <c r="H30" s="28">
        <f t="shared" si="28"/>
        <v>557.54999999999995</v>
      </c>
      <c r="I30" s="14">
        <f t="shared" si="8"/>
        <v>6.7513210701467772</v>
      </c>
      <c r="J30" s="31">
        <f t="shared" si="48"/>
        <v>3764.1990626603351</v>
      </c>
      <c r="L30" s="15">
        <f t="shared" si="30"/>
        <v>5</v>
      </c>
      <c r="M30" s="7">
        <f t="shared" si="9"/>
        <v>33.061616417042316</v>
      </c>
      <c r="N30" s="7">
        <f t="shared" si="49"/>
        <v>165.30808208521159</v>
      </c>
      <c r="P30" s="15">
        <f t="shared" si="31"/>
        <v>4</v>
      </c>
      <c r="Q30" s="7">
        <f t="shared" si="11"/>
        <v>45.248743789991082</v>
      </c>
      <c r="R30" s="7">
        <f t="shared" si="12"/>
        <v>180.99497515996433</v>
      </c>
      <c r="T30" s="15">
        <f t="shared" si="32"/>
        <v>2</v>
      </c>
      <c r="U30" s="7">
        <f t="shared" si="13"/>
        <v>21.159930927573999</v>
      </c>
      <c r="V30" s="22">
        <f t="shared" si="50"/>
        <v>42.319861855147998</v>
      </c>
      <c r="W30" s="22"/>
      <c r="X30" s="15">
        <f t="shared" si="33"/>
        <v>0</v>
      </c>
      <c r="Y30" s="7">
        <f t="shared" si="15"/>
        <v>0</v>
      </c>
      <c r="Z30" s="22">
        <f t="shared" si="16"/>
        <v>0</v>
      </c>
      <c r="AB30" s="15">
        <f t="shared" si="17"/>
        <v>6.5934647241227751</v>
      </c>
      <c r="AC30" s="22">
        <f t="shared" si="34"/>
        <v>16.351792515824481</v>
      </c>
      <c r="AE30" s="7">
        <f t="shared" si="35"/>
        <v>75.84</v>
      </c>
      <c r="AF30" s="7">
        <f t="shared" si="18"/>
        <v>186.81483385014519</v>
      </c>
      <c r="AG30" s="22">
        <f t="shared" si="46"/>
        <v>14168.036999195012</v>
      </c>
      <c r="AI30" s="15">
        <f t="shared" si="36"/>
        <v>14</v>
      </c>
      <c r="AJ30" s="7">
        <f t="shared" si="19"/>
        <v>213.08995527731429</v>
      </c>
      <c r="AK30" s="22">
        <f t="shared" si="20"/>
        <v>2983.2593738823998</v>
      </c>
      <c r="AL30" s="22"/>
      <c r="AM30" s="15">
        <f t="shared" si="37"/>
        <v>5</v>
      </c>
      <c r="AN30" s="7">
        <f t="shared" si="38"/>
        <v>387.43628232238956</v>
      </c>
      <c r="AO30" s="22">
        <f t="shared" si="21"/>
        <v>1937.1814116119479</v>
      </c>
      <c r="AQ30" s="7">
        <f t="shared" si="39"/>
        <v>0</v>
      </c>
      <c r="AR30" s="7">
        <f t="shared" si="22"/>
        <v>0</v>
      </c>
      <c r="AS30" s="22">
        <f t="shared" si="40"/>
        <v>0</v>
      </c>
      <c r="AU30" s="34">
        <f t="shared" si="23"/>
        <v>0</v>
      </c>
      <c r="AV30" s="22">
        <f t="shared" si="0"/>
        <v>0</v>
      </c>
      <c r="AX30" s="34">
        <f t="shared" si="24"/>
        <v>0</v>
      </c>
      <c r="AY30" s="22">
        <f t="shared" si="1"/>
        <v>0</v>
      </c>
      <c r="BA30" s="34">
        <f t="shared" si="25"/>
        <v>0</v>
      </c>
      <c r="BB30" s="22">
        <f t="shared" si="2"/>
        <v>0</v>
      </c>
      <c r="BD30" s="22">
        <f t="shared" si="3"/>
        <v>39.68</v>
      </c>
      <c r="BE30" s="7"/>
      <c r="BF30" s="22">
        <f t="shared" si="41"/>
        <v>4163.6485806912815</v>
      </c>
      <c r="BH30" s="22">
        <f t="shared" si="42"/>
        <v>27460.980139657127</v>
      </c>
      <c r="BJ30" s="22">
        <f t="shared" si="4"/>
        <v>7236.091366103552</v>
      </c>
      <c r="BL30" s="163">
        <f t="shared" si="26"/>
        <v>1.6631336609563543</v>
      </c>
      <c r="BN30" s="7">
        <f t="shared" si="47"/>
        <v>276.37121472330455</v>
      </c>
      <c r="BO30" s="7">
        <f t="shared" si="43"/>
        <v>311.65109929353622</v>
      </c>
      <c r="BP30" s="7">
        <f t="shared" si="44"/>
        <v>275.27715223212556</v>
      </c>
      <c r="BQ30" s="7">
        <v>123.72281823953503</v>
      </c>
    </row>
    <row r="31" spans="1:69" x14ac:dyDescent="0.2">
      <c r="A31" s="8">
        <f t="shared" si="5"/>
        <v>2047</v>
      </c>
      <c r="B31" s="34">
        <f t="shared" si="6"/>
        <v>14438.458787881058</v>
      </c>
      <c r="C31" s="122">
        <f t="shared" si="45"/>
        <v>14.438458787881059</v>
      </c>
      <c r="D31" s="34">
        <f t="shared" si="27"/>
        <v>2.48</v>
      </c>
      <c r="E31" s="34"/>
      <c r="F31" s="34">
        <f t="shared" si="7"/>
        <v>35807.377793945023</v>
      </c>
      <c r="G31" s="35"/>
      <c r="H31" s="28">
        <f t="shared" si="28"/>
        <v>557.54999999999995</v>
      </c>
      <c r="I31" s="14">
        <f t="shared" si="8"/>
        <v>6.8569170338667353</v>
      </c>
      <c r="J31" s="31">
        <f t="shared" si="48"/>
        <v>3823.074092232398</v>
      </c>
      <c r="L31" s="15">
        <f t="shared" si="30"/>
        <v>5</v>
      </c>
      <c r="M31" s="7">
        <f t="shared" si="9"/>
        <v>33.578726062906227</v>
      </c>
      <c r="N31" s="7">
        <f t="shared" si="49"/>
        <v>167.89363031453115</v>
      </c>
      <c r="P31" s="15">
        <f t="shared" si="31"/>
        <v>4</v>
      </c>
      <c r="Q31" s="7">
        <f t="shared" si="11"/>
        <v>45.956469679187713</v>
      </c>
      <c r="R31" s="7">
        <f t="shared" si="12"/>
        <v>183.82587871675085</v>
      </c>
      <c r="T31" s="15">
        <f t="shared" si="32"/>
        <v>2</v>
      </c>
      <c r="U31" s="7">
        <f t="shared" si="13"/>
        <v>21.490888865336</v>
      </c>
      <c r="V31" s="22">
        <f t="shared" si="50"/>
        <v>42.981777730672</v>
      </c>
      <c r="W31" s="22"/>
      <c r="X31" s="15">
        <f t="shared" si="33"/>
        <v>0</v>
      </c>
      <c r="Y31" s="7">
        <f t="shared" si="15"/>
        <v>0</v>
      </c>
      <c r="Z31" s="22">
        <f t="shared" si="16"/>
        <v>0</v>
      </c>
      <c r="AB31" s="15">
        <f t="shared" si="17"/>
        <v>6.8044555952947041</v>
      </c>
      <c r="AC31" s="22">
        <f t="shared" si="34"/>
        <v>16.875049876330866</v>
      </c>
      <c r="AE31" s="7">
        <f t="shared" si="35"/>
        <v>75.84</v>
      </c>
      <c r="AF31" s="7">
        <f t="shared" si="18"/>
        <v>192.79290853334984</v>
      </c>
      <c r="AG31" s="22">
        <f t="shared" si="46"/>
        <v>14621.414183169252</v>
      </c>
      <c r="AI31" s="15">
        <f t="shared" si="36"/>
        <v>14</v>
      </c>
      <c r="AJ31" s="7">
        <f t="shared" si="19"/>
        <v>219.90883384618837</v>
      </c>
      <c r="AK31" s="22">
        <f t="shared" si="20"/>
        <v>3078.7236738466372</v>
      </c>
      <c r="AL31" s="22"/>
      <c r="AM31" s="15">
        <f t="shared" si="37"/>
        <v>5</v>
      </c>
      <c r="AN31" s="7">
        <f t="shared" si="38"/>
        <v>399.834243356706</v>
      </c>
      <c r="AO31" s="22">
        <f t="shared" si="21"/>
        <v>1999.1712167835299</v>
      </c>
      <c r="AQ31" s="7">
        <f t="shared" si="39"/>
        <v>0</v>
      </c>
      <c r="AR31" s="7">
        <f t="shared" si="22"/>
        <v>0</v>
      </c>
      <c r="AS31" s="22">
        <f t="shared" si="40"/>
        <v>0</v>
      </c>
      <c r="AU31" s="34">
        <f t="shared" si="23"/>
        <v>0</v>
      </c>
      <c r="AV31" s="22">
        <f t="shared" si="0"/>
        <v>0</v>
      </c>
      <c r="AX31" s="34">
        <f t="shared" si="24"/>
        <v>0</v>
      </c>
      <c r="AY31" s="22">
        <f t="shared" si="1"/>
        <v>0</v>
      </c>
      <c r="BA31" s="34">
        <f t="shared" si="25"/>
        <v>0</v>
      </c>
      <c r="BB31" s="22">
        <f t="shared" si="2"/>
        <v>0</v>
      </c>
      <c r="BD31" s="22">
        <f t="shared" si="3"/>
        <v>39.68</v>
      </c>
      <c r="BE31" s="7"/>
      <c r="BF31" s="22">
        <f t="shared" si="41"/>
        <v>4296.8853352734022</v>
      </c>
      <c r="BH31" s="22">
        <f t="shared" si="42"/>
        <v>28270.524837943507</v>
      </c>
      <c r="BJ31" s="22">
        <f t="shared" si="4"/>
        <v>7536.8529560015158</v>
      </c>
      <c r="BL31" s="163">
        <f t="shared" si="26"/>
        <v>1.6584228810991029</v>
      </c>
      <c r="BN31" s="7">
        <f t="shared" si="47"/>
        <v>285.21509359445031</v>
      </c>
      <c r="BO31" s="7">
        <f t="shared" si="43"/>
        <v>321.62393447092938</v>
      </c>
      <c r="BP31" s="7">
        <f t="shared" si="44"/>
        <v>284.08602110355355</v>
      </c>
      <c r="BQ31" s="7">
        <v>125.65794028311885</v>
      </c>
    </row>
    <row r="32" spans="1:69" x14ac:dyDescent="0.2">
      <c r="A32" s="8">
        <f t="shared" si="5"/>
        <v>2048</v>
      </c>
      <c r="B32" s="34">
        <f t="shared" si="6"/>
        <v>14900.489469093251</v>
      </c>
      <c r="C32" s="122">
        <f t="shared" si="45"/>
        <v>14.90048946909325</v>
      </c>
      <c r="D32" s="34">
        <f t="shared" si="27"/>
        <v>2.48</v>
      </c>
      <c r="E32" s="34"/>
      <c r="F32" s="34">
        <f t="shared" si="7"/>
        <v>36953.213883351258</v>
      </c>
      <c r="G32" s="35"/>
      <c r="H32" s="28">
        <f t="shared" si="28"/>
        <v>557.54999999999995</v>
      </c>
      <c r="I32" s="14">
        <f t="shared" si="8"/>
        <v>6.966125977845179</v>
      </c>
      <c r="J32" s="31">
        <f t="shared" si="48"/>
        <v>3883.9635389475793</v>
      </c>
      <c r="L32" s="15">
        <f t="shared" si="30"/>
        <v>5</v>
      </c>
      <c r="M32" s="7">
        <f t="shared" si="9"/>
        <v>34.113528685624189</v>
      </c>
      <c r="N32" s="7">
        <f t="shared" si="49"/>
        <v>170.56764342812096</v>
      </c>
      <c r="P32" s="15">
        <f t="shared" si="31"/>
        <v>4</v>
      </c>
      <c r="Q32" s="7">
        <f t="shared" si="11"/>
        <v>46.688410505925589</v>
      </c>
      <c r="R32" s="7">
        <f t="shared" si="12"/>
        <v>186.75364202370235</v>
      </c>
      <c r="T32" s="15">
        <f t="shared" si="32"/>
        <v>2</v>
      </c>
      <c r="U32" s="7">
        <f t="shared" si="13"/>
        <v>21.833170573944905</v>
      </c>
      <c r="V32" s="22">
        <f t="shared" si="50"/>
        <v>43.66634114788981</v>
      </c>
      <c r="W32" s="22"/>
      <c r="X32" s="15">
        <f t="shared" si="33"/>
        <v>0</v>
      </c>
      <c r="Y32" s="7">
        <f t="shared" si="15"/>
        <v>0</v>
      </c>
      <c r="Z32" s="22">
        <f t="shared" si="16"/>
        <v>0</v>
      </c>
      <c r="AB32" s="15">
        <f t="shared" si="17"/>
        <v>7.0221981743441351</v>
      </c>
      <c r="AC32" s="22">
        <f t="shared" si="34"/>
        <v>17.415051472373456</v>
      </c>
      <c r="AE32" s="7">
        <f t="shared" si="35"/>
        <v>75.84</v>
      </c>
      <c r="AF32" s="7">
        <f t="shared" si="18"/>
        <v>198.96228160641704</v>
      </c>
      <c r="AG32" s="22">
        <f t="shared" si="46"/>
        <v>15089.299437030668</v>
      </c>
      <c r="AI32" s="15">
        <f t="shared" si="36"/>
        <v>14</v>
      </c>
      <c r="AJ32" s="7">
        <f t="shared" si="19"/>
        <v>226.94591652926638</v>
      </c>
      <c r="AK32" s="22">
        <f t="shared" si="20"/>
        <v>3177.2428314097292</v>
      </c>
      <c r="AL32" s="22"/>
      <c r="AM32" s="15">
        <f t="shared" si="37"/>
        <v>5</v>
      </c>
      <c r="AN32" s="7">
        <f t="shared" si="38"/>
        <v>412.62893914412064</v>
      </c>
      <c r="AO32" s="22">
        <f t="shared" si="21"/>
        <v>2063.1446957206031</v>
      </c>
      <c r="AQ32" s="7">
        <f t="shared" si="39"/>
        <v>0</v>
      </c>
      <c r="AR32" s="7">
        <f t="shared" si="22"/>
        <v>0</v>
      </c>
      <c r="AS32" s="22">
        <f t="shared" si="40"/>
        <v>0</v>
      </c>
      <c r="AU32" s="34">
        <f t="shared" si="23"/>
        <v>0</v>
      </c>
      <c r="AV32" s="22">
        <f t="shared" si="0"/>
        <v>0</v>
      </c>
      <c r="AX32" s="34">
        <f t="shared" si="24"/>
        <v>0</v>
      </c>
      <c r="AY32" s="22">
        <f t="shared" si="1"/>
        <v>0</v>
      </c>
      <c r="BA32" s="34">
        <f t="shared" si="25"/>
        <v>0</v>
      </c>
      <c r="BB32" s="22">
        <f t="shared" si="2"/>
        <v>0</v>
      </c>
      <c r="BD32" s="22">
        <f t="shared" si="3"/>
        <v>39.68</v>
      </c>
      <c r="BE32" s="7"/>
      <c r="BF32" s="22">
        <f t="shared" si="41"/>
        <v>4434.3856660021511</v>
      </c>
      <c r="BH32" s="22">
        <f t="shared" si="42"/>
        <v>29106.118847182817</v>
      </c>
      <c r="BJ32" s="22">
        <f t="shared" si="4"/>
        <v>7847.0950361684409</v>
      </c>
      <c r="BL32" s="163">
        <f t="shared" si="26"/>
        <v>1.653867839333363</v>
      </c>
      <c r="BN32" s="7">
        <f t="shared" si="47"/>
        <v>294.34197658947272</v>
      </c>
      <c r="BO32" s="7">
        <f t="shared" si="43"/>
        <v>331.91590037399914</v>
      </c>
      <c r="BP32" s="7">
        <f t="shared" si="44"/>
        <v>293.17677377886724</v>
      </c>
      <c r="BQ32" s="7">
        <v>127.65927279057767</v>
      </c>
    </row>
    <row r="33" spans="1:69" x14ac:dyDescent="0.2">
      <c r="A33" s="8">
        <f t="shared" si="5"/>
        <v>2049</v>
      </c>
      <c r="B33" s="34">
        <f t="shared" si="6"/>
        <v>15377.305132104235</v>
      </c>
      <c r="C33" s="122">
        <f t="shared" si="45"/>
        <v>15.377305132104235</v>
      </c>
      <c r="D33" s="34">
        <f t="shared" si="27"/>
        <v>2.48</v>
      </c>
      <c r="E33" s="34"/>
      <c r="F33" s="34">
        <f t="shared" si="7"/>
        <v>38135.716727618499</v>
      </c>
      <c r="G33" s="35"/>
      <c r="H33" s="28">
        <f t="shared" si="28"/>
        <v>557.54999999999995</v>
      </c>
      <c r="I33" s="14">
        <f t="shared" si="8"/>
        <v>7.0723709813320381</v>
      </c>
      <c r="J33" s="31">
        <f t="shared" si="48"/>
        <v>3943.2004406416777</v>
      </c>
      <c r="L33" s="15">
        <f t="shared" si="30"/>
        <v>5</v>
      </c>
      <c r="M33" s="7">
        <f t="shared" si="9"/>
        <v>34.633816717405423</v>
      </c>
      <c r="N33" s="7">
        <f t="shared" si="49"/>
        <v>173.1690835870271</v>
      </c>
      <c r="P33" s="15">
        <f t="shared" si="31"/>
        <v>4</v>
      </c>
      <c r="Q33" s="7">
        <f t="shared" si="11"/>
        <v>47.400486393265822</v>
      </c>
      <c r="R33" s="7">
        <f t="shared" si="12"/>
        <v>189.60194557306329</v>
      </c>
      <c r="T33" s="15">
        <f t="shared" si="32"/>
        <v>2</v>
      </c>
      <c r="U33" s="7">
        <f t="shared" si="13"/>
        <v>22.166162726417504</v>
      </c>
      <c r="V33" s="22">
        <f t="shared" si="50"/>
        <v>44.332325452835008</v>
      </c>
      <c r="W33" s="22"/>
      <c r="X33" s="15">
        <f t="shared" si="33"/>
        <v>0</v>
      </c>
      <c r="Y33" s="7">
        <f t="shared" si="15"/>
        <v>0</v>
      </c>
      <c r="Z33" s="22">
        <f t="shared" si="16"/>
        <v>0</v>
      </c>
      <c r="AB33" s="15">
        <f t="shared" si="17"/>
        <v>7.2469085159231472</v>
      </c>
      <c r="AC33" s="22">
        <f t="shared" si="34"/>
        <v>17.972333119489406</v>
      </c>
      <c r="AE33" s="7">
        <f t="shared" si="35"/>
        <v>75.84</v>
      </c>
      <c r="AF33" s="7">
        <f t="shared" si="18"/>
        <v>205.32907461782239</v>
      </c>
      <c r="AG33" s="22">
        <f t="shared" si="46"/>
        <v>15572.157019015651</v>
      </c>
      <c r="AI33" s="15">
        <f t="shared" si="36"/>
        <v>14</v>
      </c>
      <c r="AJ33" s="7">
        <f t="shared" si="19"/>
        <v>234.20818585820291</v>
      </c>
      <c r="AK33" s="22">
        <f t="shared" si="20"/>
        <v>3278.914602014841</v>
      </c>
      <c r="AL33" s="22"/>
      <c r="AM33" s="15">
        <f t="shared" si="37"/>
        <v>5</v>
      </c>
      <c r="AN33" s="7">
        <f t="shared" si="38"/>
        <v>425.83306519673255</v>
      </c>
      <c r="AO33" s="22">
        <f t="shared" si="21"/>
        <v>2129.1653259836626</v>
      </c>
      <c r="AQ33" s="7">
        <f t="shared" si="39"/>
        <v>0</v>
      </c>
      <c r="AR33" s="7">
        <f t="shared" si="22"/>
        <v>0</v>
      </c>
      <c r="AS33" s="22">
        <f t="shared" si="40"/>
        <v>0</v>
      </c>
      <c r="AU33" s="34">
        <f t="shared" si="23"/>
        <v>0</v>
      </c>
      <c r="AV33" s="22">
        <f t="shared" si="0"/>
        <v>0</v>
      </c>
      <c r="AX33" s="34">
        <f t="shared" si="24"/>
        <v>0</v>
      </c>
      <c r="AY33" s="22">
        <f t="shared" si="1"/>
        <v>0</v>
      </c>
      <c r="BA33" s="34">
        <f t="shared" si="25"/>
        <v>0</v>
      </c>
      <c r="BB33" s="22">
        <f t="shared" si="2"/>
        <v>0</v>
      </c>
      <c r="BD33" s="22">
        <f t="shared" si="3"/>
        <v>39.68</v>
      </c>
      <c r="BE33" s="7"/>
      <c r="BF33" s="22">
        <f t="shared" si="41"/>
        <v>4576.2860073142201</v>
      </c>
      <c r="BH33" s="22">
        <f t="shared" si="42"/>
        <v>29964.47908270247</v>
      </c>
      <c r="BJ33" s="22">
        <f t="shared" si="4"/>
        <v>8171.2376449160292</v>
      </c>
      <c r="BL33" s="163">
        <f t="shared" si="26"/>
        <v>1.6491953832749238</v>
      </c>
      <c r="BN33" s="7">
        <f t="shared" si="47"/>
        <v>303.76091984033587</v>
      </c>
      <c r="BO33" s="7">
        <f t="shared" si="43"/>
        <v>342.53720918596713</v>
      </c>
      <c r="BP33" s="7">
        <f t="shared" si="44"/>
        <v>302.558430539791</v>
      </c>
      <c r="BQ33" s="7">
        <v>129.60628895507148</v>
      </c>
    </row>
    <row r="34" spans="1:69" x14ac:dyDescent="0.2">
      <c r="A34" s="8">
        <f t="shared" si="5"/>
        <v>2050</v>
      </c>
      <c r="B34" s="34">
        <f t="shared" si="6"/>
        <v>15869.378896331569</v>
      </c>
      <c r="C34" s="122">
        <f t="shared" si="45"/>
        <v>15.86937889633157</v>
      </c>
      <c r="D34" s="34">
        <f t="shared" si="27"/>
        <v>2.48</v>
      </c>
      <c r="E34" s="34"/>
      <c r="F34" s="34">
        <f t="shared" si="7"/>
        <v>39356.059662902291</v>
      </c>
      <c r="G34" s="35"/>
      <c r="H34" s="28">
        <f t="shared" si="28"/>
        <v>557.54999999999995</v>
      </c>
      <c r="I34" s="14">
        <f t="shared" si="8"/>
        <v>7.173531752718378</v>
      </c>
      <c r="J34" s="31">
        <f t="shared" si="48"/>
        <v>3999.6026287281311</v>
      </c>
      <c r="L34" s="15">
        <f t="shared" si="30"/>
        <v>5</v>
      </c>
      <c r="M34" s="7">
        <f t="shared" si="9"/>
        <v>35.129206965517938</v>
      </c>
      <c r="N34" s="7">
        <f t="shared" si="49"/>
        <v>175.64603482758969</v>
      </c>
      <c r="P34" s="15">
        <f t="shared" si="31"/>
        <v>4</v>
      </c>
      <c r="Q34" s="7">
        <f t="shared" si="11"/>
        <v>48.078486710314714</v>
      </c>
      <c r="R34" s="7">
        <f t="shared" si="12"/>
        <v>192.31394684125885</v>
      </c>
      <c r="T34" s="15">
        <f t="shared" si="32"/>
        <v>2</v>
      </c>
      <c r="U34" s="7">
        <f t="shared" si="13"/>
        <v>22.48321992350153</v>
      </c>
      <c r="V34" s="22">
        <f t="shared" si="50"/>
        <v>44.966439847003059</v>
      </c>
      <c r="W34" s="22"/>
      <c r="X34" s="15">
        <f t="shared" si="33"/>
        <v>0</v>
      </c>
      <c r="Y34" s="7">
        <f t="shared" si="15"/>
        <v>0</v>
      </c>
      <c r="Z34" s="22">
        <f t="shared" si="16"/>
        <v>0</v>
      </c>
      <c r="AB34" s="15">
        <f t="shared" si="17"/>
        <v>7.4788095884326884</v>
      </c>
      <c r="AC34" s="22">
        <f t="shared" si="34"/>
        <v>18.547447779313067</v>
      </c>
      <c r="AE34" s="7">
        <f t="shared" si="35"/>
        <v>75.84</v>
      </c>
      <c r="AF34" s="7">
        <f t="shared" si="18"/>
        <v>211.89960500559272</v>
      </c>
      <c r="AG34" s="22">
        <f t="shared" si="46"/>
        <v>16070.466043624152</v>
      </c>
      <c r="AI34" s="15">
        <f t="shared" si="36"/>
        <v>14</v>
      </c>
      <c r="AJ34" s="7">
        <f t="shared" si="19"/>
        <v>241.70284780566539</v>
      </c>
      <c r="AK34" s="22">
        <f t="shared" si="20"/>
        <v>3383.8398692793153</v>
      </c>
      <c r="AL34" s="22"/>
      <c r="AM34" s="15">
        <f t="shared" si="37"/>
        <v>5</v>
      </c>
      <c r="AN34" s="7">
        <f t="shared" si="38"/>
        <v>439.45972328302793</v>
      </c>
      <c r="AO34" s="22">
        <f t="shared" si="21"/>
        <v>2197.2986164151398</v>
      </c>
      <c r="AQ34" s="7">
        <f t="shared" si="39"/>
        <v>0</v>
      </c>
      <c r="AR34" s="7">
        <f t="shared" si="22"/>
        <v>0</v>
      </c>
      <c r="AS34" s="22">
        <f t="shared" si="40"/>
        <v>0</v>
      </c>
      <c r="AU34" s="34">
        <f t="shared" si="23"/>
        <v>0</v>
      </c>
      <c r="AV34" s="22">
        <f t="shared" si="0"/>
        <v>0</v>
      </c>
      <c r="AX34" s="34">
        <f t="shared" si="24"/>
        <v>0</v>
      </c>
      <c r="AY34" s="22">
        <f t="shared" si="1"/>
        <v>0</v>
      </c>
      <c r="BA34" s="34">
        <f t="shared" si="25"/>
        <v>0</v>
      </c>
      <c r="BB34" s="22">
        <f t="shared" si="2"/>
        <v>0</v>
      </c>
      <c r="BD34" s="22">
        <f t="shared" si="3"/>
        <v>39.68</v>
      </c>
      <c r="BE34" s="7"/>
      <c r="BF34" s="22">
        <f t="shared" si="41"/>
        <v>4722.7271595482744</v>
      </c>
      <c r="BH34" s="22">
        <f t="shared" si="42"/>
        <v>30845.088186890178</v>
      </c>
      <c r="BJ34" s="22">
        <f t="shared" si="4"/>
        <v>8510.9714760121133</v>
      </c>
      <c r="BL34" s="163">
        <f t="shared" si="26"/>
        <v>1.6443385739202452</v>
      </c>
      <c r="BN34" s="7">
        <f t="shared" si="47"/>
        <v>313.48126927522662</v>
      </c>
      <c r="BO34" s="7">
        <f t="shared" si="43"/>
        <v>353.49839987991805</v>
      </c>
      <c r="BP34" s="7">
        <f t="shared" si="44"/>
        <v>312.24030031706434</v>
      </c>
      <c r="BQ34" s="7">
        <v>131.46013290667179</v>
      </c>
    </row>
    <row r="35" spans="1:69" s="100" customFormat="1" x14ac:dyDescent="0.2">
      <c r="A35" s="100">
        <f t="shared" si="5"/>
        <v>2051</v>
      </c>
      <c r="B35" s="106">
        <f t="shared" si="6"/>
        <v>16377.199021014181</v>
      </c>
      <c r="C35" s="123">
        <f t="shared" si="45"/>
        <v>16.377199021014182</v>
      </c>
      <c r="D35" s="34">
        <f t="shared" si="27"/>
        <v>2.48</v>
      </c>
      <c r="E35" s="106"/>
      <c r="F35" s="106">
        <f t="shared" si="7"/>
        <v>40615.45357211517</v>
      </c>
      <c r="G35" s="107"/>
      <c r="H35" s="108">
        <f t="shared" si="28"/>
        <v>557.54999999999995</v>
      </c>
      <c r="I35" s="109">
        <f t="shared" si="8"/>
        <v>7.2646153246270728</v>
      </c>
      <c r="J35" s="101">
        <f t="shared" si="48"/>
        <v>4050.3862742458241</v>
      </c>
      <c r="L35" s="110">
        <f t="shared" si="30"/>
        <v>5</v>
      </c>
      <c r="M35" s="111">
        <f t="shared" si="9"/>
        <v>35.575248575011983</v>
      </c>
      <c r="N35" s="111">
        <f t="shared" si="49"/>
        <v>177.87624287505992</v>
      </c>
      <c r="P35" s="110">
        <f t="shared" si="31"/>
        <v>4</v>
      </c>
      <c r="Q35" s="111">
        <f t="shared" si="11"/>
        <v>48.688947561746886</v>
      </c>
      <c r="R35" s="111">
        <f t="shared" si="12"/>
        <v>194.75579024698754</v>
      </c>
      <c r="T35" s="110">
        <f t="shared" si="32"/>
        <v>2</v>
      </c>
      <c r="U35" s="111">
        <f t="shared" si="13"/>
        <v>22.768693250899183</v>
      </c>
      <c r="V35" s="112">
        <f t="shared" si="50"/>
        <v>45.537386501798366</v>
      </c>
      <c r="W35" s="112"/>
      <c r="X35" s="110">
        <f t="shared" si="33"/>
        <v>0</v>
      </c>
      <c r="Y35" s="111">
        <f t="shared" si="15"/>
        <v>0</v>
      </c>
      <c r="Z35" s="112">
        <f t="shared" si="16"/>
        <v>0</v>
      </c>
      <c r="AB35" s="110">
        <f t="shared" si="17"/>
        <v>7.7181314952625346</v>
      </c>
      <c r="AC35" s="112">
        <f t="shared" si="34"/>
        <v>19.140966108251085</v>
      </c>
      <c r="AE35" s="111">
        <f t="shared" si="35"/>
        <v>75.84</v>
      </c>
      <c r="AF35" s="111">
        <f t="shared" si="18"/>
        <v>218.6803923657717</v>
      </c>
      <c r="AG35" s="112">
        <f t="shared" si="46"/>
        <v>16584.720957020127</v>
      </c>
      <c r="AI35" s="110">
        <f t="shared" si="36"/>
        <v>14</v>
      </c>
      <c r="AJ35" s="111">
        <f t="shared" si="19"/>
        <v>249.43733893544669</v>
      </c>
      <c r="AK35" s="112">
        <f t="shared" si="20"/>
        <v>3492.1227450962538</v>
      </c>
      <c r="AL35" s="112"/>
      <c r="AM35" s="110">
        <f t="shared" si="37"/>
        <v>5</v>
      </c>
      <c r="AN35" s="111">
        <f t="shared" si="38"/>
        <v>453.52243442808486</v>
      </c>
      <c r="AO35" s="112">
        <f t="shared" si="21"/>
        <v>2267.6121721404243</v>
      </c>
      <c r="AQ35" s="111">
        <f t="shared" si="39"/>
        <v>0</v>
      </c>
      <c r="AR35" s="111">
        <f t="shared" si="22"/>
        <v>0</v>
      </c>
      <c r="AS35" s="112">
        <f t="shared" si="40"/>
        <v>0</v>
      </c>
      <c r="AU35" s="106">
        <f t="shared" si="23"/>
        <v>0</v>
      </c>
      <c r="AV35" s="112">
        <f t="shared" si="0"/>
        <v>0</v>
      </c>
      <c r="AX35" s="106">
        <f t="shared" si="24"/>
        <v>0</v>
      </c>
      <c r="AY35" s="112">
        <f t="shared" si="1"/>
        <v>0</v>
      </c>
      <c r="BA35" s="106">
        <f t="shared" si="25"/>
        <v>0</v>
      </c>
      <c r="BB35" s="112">
        <f t="shared" si="2"/>
        <v>0</v>
      </c>
      <c r="BD35" s="112">
        <f t="shared" si="3"/>
        <v>39.68</v>
      </c>
      <c r="BE35" s="111"/>
      <c r="BF35" s="112">
        <f t="shared" si="41"/>
        <v>4873.8544286538199</v>
      </c>
      <c r="BH35" s="112">
        <f t="shared" si="42"/>
        <v>31745.686962888543</v>
      </c>
      <c r="BJ35" s="112">
        <f t="shared" si="4"/>
        <v>8869.7666092266263</v>
      </c>
      <c r="BL35" s="163">
        <f t="shared" si="26"/>
        <v>1.6391317036611817</v>
      </c>
      <c r="BN35" s="111">
        <f t="shared" si="47"/>
        <v>323.5126698920339</v>
      </c>
      <c r="BO35" s="111">
        <f t="shared" si="43"/>
        <v>364.81034867607542</v>
      </c>
      <c r="BP35" s="111">
        <f t="shared" si="44"/>
        <v>322.23198992721041</v>
      </c>
      <c r="BQ35" s="111">
        <v>133.12930492423399</v>
      </c>
    </row>
    <row r="36" spans="1:69" s="100" customFormat="1" x14ac:dyDescent="0.2">
      <c r="A36" s="100">
        <f t="shared" si="5"/>
        <v>2052</v>
      </c>
      <c r="B36" s="106">
        <f t="shared" si="6"/>
        <v>16901.269389686637</v>
      </c>
      <c r="C36" s="123">
        <f t="shared" si="45"/>
        <v>16.901269389686636</v>
      </c>
      <c r="D36" s="34">
        <f t="shared" si="27"/>
        <v>2.48</v>
      </c>
      <c r="E36" s="106"/>
      <c r="F36" s="106">
        <f t="shared" si="7"/>
        <v>41915.148086422858</v>
      </c>
      <c r="G36" s="107"/>
      <c r="H36" s="108">
        <f t="shared" si="28"/>
        <v>557.54999999999995</v>
      </c>
      <c r="I36" s="109">
        <f t="shared" si="8"/>
        <v>7.3444263581051334</v>
      </c>
      <c r="J36" s="101">
        <f t="shared" si="48"/>
        <v>4094.884915961517</v>
      </c>
      <c r="L36" s="110">
        <f t="shared" si="30"/>
        <v>5</v>
      </c>
      <c r="M36" s="111">
        <f t="shared" si="9"/>
        <v>35.966087900720716</v>
      </c>
      <c r="N36" s="111">
        <f t="shared" si="49"/>
        <v>179.83043950360357</v>
      </c>
      <c r="P36" s="110">
        <f t="shared" si="31"/>
        <v>4</v>
      </c>
      <c r="Q36" s="111">
        <f t="shared" si="11"/>
        <v>49.223857539800207</v>
      </c>
      <c r="R36" s="111">
        <f t="shared" si="12"/>
        <v>196.89543015920083</v>
      </c>
      <c r="T36" s="110">
        <f t="shared" si="32"/>
        <v>2</v>
      </c>
      <c r="U36" s="111">
        <f t="shared" si="13"/>
        <v>23.018836287811119</v>
      </c>
      <c r="V36" s="112">
        <f t="shared" si="50"/>
        <v>46.037672575622238</v>
      </c>
      <c r="W36" s="112"/>
      <c r="X36" s="110">
        <f t="shared" si="33"/>
        <v>0</v>
      </c>
      <c r="Y36" s="111">
        <f t="shared" si="15"/>
        <v>0</v>
      </c>
      <c r="Z36" s="112">
        <f t="shared" si="16"/>
        <v>0</v>
      </c>
      <c r="AB36" s="110">
        <f t="shared" si="17"/>
        <v>7.965111703110936</v>
      </c>
      <c r="AC36" s="112">
        <f t="shared" si="34"/>
        <v>19.753477023715121</v>
      </c>
      <c r="AE36" s="111">
        <f t="shared" si="35"/>
        <v>75.84</v>
      </c>
      <c r="AF36" s="111">
        <f t="shared" si="18"/>
        <v>225.67816492147639</v>
      </c>
      <c r="AG36" s="112">
        <f t="shared" si="46"/>
        <v>17115.432027644769</v>
      </c>
      <c r="AI36" s="110">
        <f t="shared" si="36"/>
        <v>14</v>
      </c>
      <c r="AJ36" s="111">
        <f t="shared" si="19"/>
        <v>257.419333781381</v>
      </c>
      <c r="AK36" s="112">
        <f t="shared" si="20"/>
        <v>3603.8706729393339</v>
      </c>
      <c r="AL36" s="112"/>
      <c r="AM36" s="110">
        <f t="shared" si="37"/>
        <v>5</v>
      </c>
      <c r="AN36" s="111">
        <f t="shared" si="38"/>
        <v>468.03515232978361</v>
      </c>
      <c r="AO36" s="112">
        <f t="shared" si="21"/>
        <v>2340.1757616489181</v>
      </c>
      <c r="AQ36" s="111">
        <f t="shared" si="39"/>
        <v>0</v>
      </c>
      <c r="AR36" s="111">
        <f t="shared" si="22"/>
        <v>0</v>
      </c>
      <c r="AS36" s="112">
        <f t="shared" si="40"/>
        <v>0</v>
      </c>
      <c r="AU36" s="106">
        <f t="shared" si="23"/>
        <v>0</v>
      </c>
      <c r="AV36" s="112">
        <f t="shared" si="0"/>
        <v>0</v>
      </c>
      <c r="AX36" s="106">
        <f t="shared" si="24"/>
        <v>0</v>
      </c>
      <c r="AY36" s="112">
        <f t="shared" si="1"/>
        <v>0</v>
      </c>
      <c r="BA36" s="106">
        <f t="shared" si="25"/>
        <v>0</v>
      </c>
      <c r="BB36" s="112">
        <f t="shared" si="2"/>
        <v>0</v>
      </c>
      <c r="BD36" s="112">
        <f t="shared" si="3"/>
        <v>39.68</v>
      </c>
      <c r="BE36" s="111"/>
      <c r="BF36" s="112">
        <f t="shared" si="41"/>
        <v>5029.8177703707424</v>
      </c>
      <c r="BH36" s="112">
        <f t="shared" si="42"/>
        <v>32666.378167827424</v>
      </c>
      <c r="BJ36" s="112">
        <f t="shared" si="4"/>
        <v>9248.7699185954334</v>
      </c>
      <c r="BL36" s="163">
        <f t="shared" si="26"/>
        <v>1.633569346680958</v>
      </c>
      <c r="BN36" s="111">
        <f t="shared" si="47"/>
        <v>333.865075328579</v>
      </c>
      <c r="BO36" s="111">
        <f t="shared" si="43"/>
        <v>376.48427983370982</v>
      </c>
      <c r="BP36" s="111">
        <f t="shared" si="44"/>
        <v>332.54341360488115</v>
      </c>
      <c r="BQ36" s="111">
        <v>134.59189956103458</v>
      </c>
    </row>
    <row r="37" spans="1:69" s="100" customFormat="1" x14ac:dyDescent="0.2">
      <c r="A37" s="100">
        <f t="shared" si="5"/>
        <v>2053</v>
      </c>
      <c r="B37" s="106">
        <f t="shared" si="6"/>
        <v>17442.110010156608</v>
      </c>
      <c r="C37" s="123">
        <f t="shared" si="45"/>
        <v>17.442110010156608</v>
      </c>
      <c r="D37" s="34">
        <f t="shared" si="27"/>
        <v>2.48</v>
      </c>
      <c r="E37" s="106"/>
      <c r="F37" s="106">
        <f t="shared" si="7"/>
        <v>43256.432825188385</v>
      </c>
      <c r="G37" s="107"/>
      <c r="H37" s="108">
        <f t="shared" si="28"/>
        <v>557.54999999999995</v>
      </c>
      <c r="I37" s="109">
        <f t="shared" si="8"/>
        <v>7.4102426923411846</v>
      </c>
      <c r="J37" s="101">
        <f t="shared" si="48"/>
        <v>4131.5808131148269</v>
      </c>
      <c r="L37" s="110">
        <f t="shared" si="30"/>
        <v>5</v>
      </c>
      <c r="M37" s="111">
        <f t="shared" si="9"/>
        <v>36.288394361023734</v>
      </c>
      <c r="N37" s="111">
        <f t="shared" si="49"/>
        <v>181.44197180511867</v>
      </c>
      <c r="P37" s="110">
        <f t="shared" si="31"/>
        <v>4</v>
      </c>
      <c r="Q37" s="111">
        <f t="shared" si="11"/>
        <v>49.66497216227198</v>
      </c>
      <c r="R37" s="111">
        <f t="shared" si="12"/>
        <v>198.65988864908792</v>
      </c>
      <c r="T37" s="110">
        <f t="shared" si="32"/>
        <v>2</v>
      </c>
      <c r="U37" s="111">
        <f t="shared" si="13"/>
        <v>23.22511726184139</v>
      </c>
      <c r="V37" s="112">
        <f t="shared" si="50"/>
        <v>46.450234523682781</v>
      </c>
      <c r="W37" s="112"/>
      <c r="X37" s="110">
        <f t="shared" si="33"/>
        <v>0</v>
      </c>
      <c r="Y37" s="111">
        <f t="shared" si="15"/>
        <v>0</v>
      </c>
      <c r="Z37" s="112">
        <f t="shared" si="16"/>
        <v>0</v>
      </c>
      <c r="AB37" s="110">
        <f t="shared" si="17"/>
        <v>8.2199952776104865</v>
      </c>
      <c r="AC37" s="112">
        <f t="shared" si="34"/>
        <v>20.385588288474008</v>
      </c>
      <c r="AE37" s="111">
        <f t="shared" si="35"/>
        <v>75.84</v>
      </c>
      <c r="AF37" s="111">
        <f t="shared" si="18"/>
        <v>232.89986619896365</v>
      </c>
      <c r="AG37" s="112">
        <f t="shared" si="46"/>
        <v>17663.125852529403</v>
      </c>
      <c r="AI37" s="110">
        <f t="shared" si="36"/>
        <v>14</v>
      </c>
      <c r="AJ37" s="111">
        <f t="shared" si="19"/>
        <v>265.65675246238521</v>
      </c>
      <c r="AK37" s="112">
        <f t="shared" si="20"/>
        <v>3719.1945344733931</v>
      </c>
      <c r="AL37" s="112"/>
      <c r="AM37" s="110">
        <f t="shared" si="37"/>
        <v>5</v>
      </c>
      <c r="AN37" s="111">
        <f t="shared" si="38"/>
        <v>483.01227720433661</v>
      </c>
      <c r="AO37" s="112">
        <f t="shared" si="21"/>
        <v>2415.0613860216831</v>
      </c>
      <c r="AQ37" s="111">
        <f t="shared" si="39"/>
        <v>0</v>
      </c>
      <c r="AR37" s="111">
        <f t="shared" si="22"/>
        <v>0</v>
      </c>
      <c r="AS37" s="112">
        <f t="shared" si="40"/>
        <v>0</v>
      </c>
      <c r="AU37" s="106">
        <f t="shared" si="23"/>
        <v>0</v>
      </c>
      <c r="AV37" s="112">
        <f t="shared" si="0"/>
        <v>0</v>
      </c>
      <c r="AX37" s="106">
        <f t="shared" si="24"/>
        <v>0</v>
      </c>
      <c r="AY37" s="112">
        <f t="shared" si="1"/>
        <v>0</v>
      </c>
      <c r="BA37" s="106">
        <f t="shared" si="25"/>
        <v>0</v>
      </c>
      <c r="BB37" s="112">
        <f t="shared" si="2"/>
        <v>0</v>
      </c>
      <c r="BD37" s="112">
        <f t="shared" si="3"/>
        <v>39.68</v>
      </c>
      <c r="BE37" s="111"/>
      <c r="BF37" s="112">
        <f t="shared" si="41"/>
        <v>5190.7719390226057</v>
      </c>
      <c r="BH37" s="112">
        <f t="shared" si="42"/>
        <v>33606.352208428281</v>
      </c>
      <c r="BJ37" s="112">
        <f t="shared" si="4"/>
        <v>9650.080616760104</v>
      </c>
      <c r="BL37" s="163">
        <f t="shared" si="26"/>
        <v>1.6275951791273158</v>
      </c>
      <c r="BN37" s="111">
        <f t="shared" si="47"/>
        <v>344.5487577390935</v>
      </c>
      <c r="BO37" s="111">
        <f t="shared" si="43"/>
        <v>388.53177678838853</v>
      </c>
      <c r="BP37" s="111">
        <f t="shared" si="44"/>
        <v>343.18480284023735</v>
      </c>
      <c r="BQ37" s="111">
        <v>135.79803126078241</v>
      </c>
    </row>
    <row r="38" spans="1:69" s="100" customFormat="1" x14ac:dyDescent="0.2">
      <c r="A38" s="100">
        <f t="shared" si="5"/>
        <v>2054</v>
      </c>
      <c r="B38" s="106">
        <f t="shared" si="6"/>
        <v>18000.25753048162</v>
      </c>
      <c r="C38" s="123">
        <f t="shared" si="45"/>
        <v>18.000257530481619</v>
      </c>
      <c r="D38" s="34">
        <f t="shared" si="27"/>
        <v>2.48</v>
      </c>
      <c r="E38" s="106"/>
      <c r="F38" s="106">
        <f t="shared" si="7"/>
        <v>44640.638675594419</v>
      </c>
      <c r="G38" s="107"/>
      <c r="H38" s="108">
        <f t="shared" si="28"/>
        <v>557.54999999999995</v>
      </c>
      <c r="I38" s="109">
        <f t="shared" si="8"/>
        <v>7.462508482969997</v>
      </c>
      <c r="J38" s="101">
        <f t="shared" si="48"/>
        <v>4160.7216046799213</v>
      </c>
      <c r="L38" s="110">
        <f t="shared" si="30"/>
        <v>5</v>
      </c>
      <c r="M38" s="111">
        <f t="shared" si="9"/>
        <v>36.544343012191298</v>
      </c>
      <c r="N38" s="111">
        <f t="shared" si="49"/>
        <v>182.72171506095648</v>
      </c>
      <c r="P38" s="110">
        <f t="shared" si="31"/>
        <v>4</v>
      </c>
      <c r="Q38" s="111">
        <f t="shared" si="11"/>
        <v>50.015268251670236</v>
      </c>
      <c r="R38" s="111">
        <f t="shared" si="12"/>
        <v>200.06107300668094</v>
      </c>
      <c r="T38" s="110">
        <f t="shared" si="32"/>
        <v>2</v>
      </c>
      <c r="U38" s="111">
        <f t="shared" si="13"/>
        <v>23.388928241661475</v>
      </c>
      <c r="V38" s="112">
        <f t="shared" si="50"/>
        <v>46.77785648332295</v>
      </c>
      <c r="W38" s="112"/>
      <c r="X38" s="110">
        <f t="shared" si="33"/>
        <v>0</v>
      </c>
      <c r="Y38" s="111">
        <f t="shared" si="15"/>
        <v>0</v>
      </c>
      <c r="Z38" s="112">
        <f t="shared" si="16"/>
        <v>0</v>
      </c>
      <c r="AB38" s="110">
        <f t="shared" si="17"/>
        <v>8.4830351264940216</v>
      </c>
      <c r="AC38" s="112">
        <f t="shared" si="34"/>
        <v>21.037927113705173</v>
      </c>
      <c r="AE38" s="111">
        <f t="shared" si="35"/>
        <v>75.84</v>
      </c>
      <c r="AF38" s="111">
        <f t="shared" si="18"/>
        <v>240.35266191733049</v>
      </c>
      <c r="AG38" s="112">
        <f t="shared" si="46"/>
        <v>18228.345879810346</v>
      </c>
      <c r="AI38" s="110">
        <f t="shared" si="36"/>
        <v>14</v>
      </c>
      <c r="AJ38" s="111">
        <f t="shared" si="19"/>
        <v>274.15776854118155</v>
      </c>
      <c r="AK38" s="112">
        <f t="shared" si="20"/>
        <v>3838.2087595765415</v>
      </c>
      <c r="AL38" s="112"/>
      <c r="AM38" s="110">
        <f t="shared" si="37"/>
        <v>5</v>
      </c>
      <c r="AN38" s="111">
        <f t="shared" si="38"/>
        <v>498.46867007487543</v>
      </c>
      <c r="AO38" s="112">
        <f t="shared" si="21"/>
        <v>2492.3433503743772</v>
      </c>
      <c r="AQ38" s="111">
        <f t="shared" si="39"/>
        <v>0</v>
      </c>
      <c r="AR38" s="111">
        <f t="shared" si="22"/>
        <v>0</v>
      </c>
      <c r="AS38" s="112">
        <f t="shared" si="40"/>
        <v>0</v>
      </c>
      <c r="AU38" s="106">
        <f t="shared" si="23"/>
        <v>0</v>
      </c>
      <c r="AV38" s="112">
        <f t="shared" si="0"/>
        <v>0</v>
      </c>
      <c r="AX38" s="106">
        <f t="shared" si="24"/>
        <v>0</v>
      </c>
      <c r="AY38" s="112">
        <f t="shared" si="1"/>
        <v>0</v>
      </c>
      <c r="BA38" s="106">
        <f t="shared" si="25"/>
        <v>0</v>
      </c>
      <c r="BB38" s="112">
        <f t="shared" si="2"/>
        <v>0</v>
      </c>
      <c r="BD38" s="112">
        <f t="shared" si="3"/>
        <v>39.68</v>
      </c>
      <c r="BE38" s="111"/>
      <c r="BF38" s="112">
        <f t="shared" si="41"/>
        <v>5356.8766410713297</v>
      </c>
      <c r="BH38" s="112">
        <f t="shared" si="42"/>
        <v>34566.774807177178</v>
      </c>
      <c r="BJ38" s="112">
        <f t="shared" si="4"/>
        <v>10073.86386841724</v>
      </c>
      <c r="BL38" s="163">
        <f t="shared" si="26"/>
        <v>1.621270604733692</v>
      </c>
      <c r="BN38" s="111">
        <f t="shared" si="47"/>
        <v>355.57431798674452</v>
      </c>
      <c r="BO38" s="111">
        <f t="shared" si="43"/>
        <v>400.96479364561696</v>
      </c>
      <c r="BP38" s="111">
        <f t="shared" si="44"/>
        <v>354.16671653112496</v>
      </c>
      <c r="BQ38" s="111">
        <v>136.75583949518972</v>
      </c>
    </row>
    <row r="39" spans="1:69" s="100" customFormat="1" x14ac:dyDescent="0.2">
      <c r="A39" s="100">
        <f t="shared" si="5"/>
        <v>2055</v>
      </c>
      <c r="B39" s="106">
        <f t="shared" si="6"/>
        <v>18576.265771457034</v>
      </c>
      <c r="C39" s="123">
        <f t="shared" si="45"/>
        <v>18.576265771457035</v>
      </c>
      <c r="D39" s="34">
        <f t="shared" si="27"/>
        <v>2.48</v>
      </c>
      <c r="E39" s="106"/>
      <c r="F39" s="106">
        <f t="shared" si="7"/>
        <v>46069.139113213445</v>
      </c>
      <c r="G39" s="107"/>
      <c r="H39" s="108">
        <f t="shared" si="28"/>
        <v>557.54999999999995</v>
      </c>
      <c r="I39" s="109">
        <f t="shared" si="8"/>
        <v>7.500881252711725</v>
      </c>
      <c r="J39" s="101">
        <f t="shared" si="48"/>
        <v>4182.1163424494216</v>
      </c>
      <c r="L39" s="110">
        <f t="shared" si="30"/>
        <v>5</v>
      </c>
      <c r="M39" s="111">
        <f t="shared" si="9"/>
        <v>36.732256722838294</v>
      </c>
      <c r="N39" s="111">
        <f t="shared" si="49"/>
        <v>183.66128361419146</v>
      </c>
      <c r="P39" s="110">
        <f t="shared" si="31"/>
        <v>4</v>
      </c>
      <c r="Q39" s="111">
        <f t="shared" si="11"/>
        <v>50.272450454755415</v>
      </c>
      <c r="R39" s="111">
        <f t="shared" si="12"/>
        <v>201.08980181902166</v>
      </c>
      <c r="T39" s="110">
        <f t="shared" si="32"/>
        <v>2</v>
      </c>
      <c r="U39" s="111">
        <f t="shared" si="13"/>
        <v>23.509195838002736</v>
      </c>
      <c r="V39" s="112">
        <f t="shared" si="50"/>
        <v>47.018391676005471</v>
      </c>
      <c r="W39" s="112"/>
      <c r="X39" s="110">
        <f t="shared" si="33"/>
        <v>0</v>
      </c>
      <c r="Y39" s="111">
        <f t="shared" si="15"/>
        <v>0</v>
      </c>
      <c r="Z39" s="112">
        <f t="shared" si="16"/>
        <v>0</v>
      </c>
      <c r="AB39" s="110">
        <f t="shared" si="17"/>
        <v>8.7544922505418299</v>
      </c>
      <c r="AC39" s="112">
        <f t="shared" si="34"/>
        <v>21.711140781343737</v>
      </c>
      <c r="AE39" s="111">
        <f t="shared" si="35"/>
        <v>75.84</v>
      </c>
      <c r="AF39" s="111">
        <f t="shared" si="18"/>
        <v>248.04394709868507</v>
      </c>
      <c r="AG39" s="112">
        <f t="shared" si="46"/>
        <v>18811.652947964278</v>
      </c>
      <c r="AI39" s="110">
        <f t="shared" si="36"/>
        <v>14</v>
      </c>
      <c r="AJ39" s="111">
        <f t="shared" si="19"/>
        <v>282.93081713449936</v>
      </c>
      <c r="AK39" s="112">
        <f t="shared" si="20"/>
        <v>3961.031439882991</v>
      </c>
      <c r="AL39" s="112"/>
      <c r="AM39" s="110">
        <f t="shared" si="37"/>
        <v>5</v>
      </c>
      <c r="AN39" s="111">
        <f t="shared" si="38"/>
        <v>514.41966751727148</v>
      </c>
      <c r="AO39" s="112">
        <f t="shared" si="21"/>
        <v>2572.0983375863575</v>
      </c>
      <c r="AQ39" s="111">
        <f t="shared" si="39"/>
        <v>0</v>
      </c>
      <c r="AR39" s="111">
        <f t="shared" si="22"/>
        <v>0</v>
      </c>
      <c r="AS39" s="112">
        <f t="shared" si="40"/>
        <v>0</v>
      </c>
      <c r="AU39" s="106">
        <f t="shared" si="23"/>
        <v>0</v>
      </c>
      <c r="AV39" s="112">
        <f t="shared" si="0"/>
        <v>0</v>
      </c>
      <c r="AX39" s="106">
        <f t="shared" si="24"/>
        <v>0</v>
      </c>
      <c r="AY39" s="112">
        <f t="shared" si="1"/>
        <v>0</v>
      </c>
      <c r="BA39" s="106">
        <f t="shared" si="25"/>
        <v>0</v>
      </c>
      <c r="BB39" s="112">
        <f t="shared" si="2"/>
        <v>0</v>
      </c>
      <c r="BD39" s="112">
        <f t="shared" si="3"/>
        <v>39.68</v>
      </c>
      <c r="BE39" s="111"/>
      <c r="BF39" s="112">
        <f t="shared" si="41"/>
        <v>5528.296693585613</v>
      </c>
      <c r="BH39" s="112">
        <f t="shared" si="42"/>
        <v>35548.356379359218</v>
      </c>
      <c r="BJ39" s="112">
        <f t="shared" si="4"/>
        <v>10520.782733854227</v>
      </c>
      <c r="BL39" s="163">
        <f t="shared" si="26"/>
        <v>1.6146261196408613</v>
      </c>
      <c r="BN39" s="111">
        <f t="shared" si="47"/>
        <v>366.95269616232036</v>
      </c>
      <c r="BO39" s="111">
        <f t="shared" si="43"/>
        <v>413.7956670422767</v>
      </c>
      <c r="BP39" s="111">
        <f t="shared" si="44"/>
        <v>365.50005146012097</v>
      </c>
      <c r="BQ39" s="111">
        <v>137.45904812158676</v>
      </c>
    </row>
    <row r="40" spans="1:69" x14ac:dyDescent="0.2">
      <c r="A40" s="8"/>
      <c r="D40" s="37"/>
      <c r="BL40" s="21"/>
    </row>
    <row r="41" spans="1:69" x14ac:dyDescent="0.2">
      <c r="D41" s="16"/>
    </row>
  </sheetData>
  <mergeCells count="51">
    <mergeCell ref="BN1:BQ1"/>
    <mergeCell ref="BN4:BQ4"/>
    <mergeCell ref="B1:F1"/>
    <mergeCell ref="X2:Z2"/>
    <mergeCell ref="X3:X4"/>
    <mergeCell ref="I3:I4"/>
    <mergeCell ref="J3:J4"/>
    <mergeCell ref="Y3:Y4"/>
    <mergeCell ref="B2:B4"/>
    <mergeCell ref="C2:C4"/>
    <mergeCell ref="D2:D4"/>
    <mergeCell ref="F2:F4"/>
    <mergeCell ref="AE2:AG2"/>
    <mergeCell ref="AM2:AO2"/>
    <mergeCell ref="P2:R2"/>
    <mergeCell ref="P3:P4"/>
    <mergeCell ref="Q3:Q4"/>
    <mergeCell ref="R3:R4"/>
    <mergeCell ref="AE3:AG3"/>
    <mergeCell ref="Z3:Z4"/>
    <mergeCell ref="T3:T4"/>
    <mergeCell ref="U3:U4"/>
    <mergeCell ref="V3:V4"/>
    <mergeCell ref="H1:BH1"/>
    <mergeCell ref="BF3:BF4"/>
    <mergeCell ref="BJ3:BJ4"/>
    <mergeCell ref="AI3:AI4"/>
    <mergeCell ref="AJ3:AJ4"/>
    <mergeCell ref="AQ3:AQ4"/>
    <mergeCell ref="AR3:AR4"/>
    <mergeCell ref="AS3:AS4"/>
    <mergeCell ref="AM3:AM4"/>
    <mergeCell ref="AN3:AN4"/>
    <mergeCell ref="AO3:AO4"/>
    <mergeCell ref="AB3:AB4"/>
    <mergeCell ref="AQ2:AS2"/>
    <mergeCell ref="AC3:AC4"/>
    <mergeCell ref="T2:V2"/>
    <mergeCell ref="AB2:AC2"/>
    <mergeCell ref="BL3:BL4"/>
    <mergeCell ref="AI2:AK2"/>
    <mergeCell ref="AY3:AY4"/>
    <mergeCell ref="AX3:AX4"/>
    <mergeCell ref="AX2:AY2"/>
    <mergeCell ref="BB3:BB4"/>
    <mergeCell ref="BA3:BA4"/>
    <mergeCell ref="BA2:BB2"/>
    <mergeCell ref="AV3:AV4"/>
    <mergeCell ref="AU3:AU4"/>
    <mergeCell ref="AU2:AV2"/>
    <mergeCell ref="AK3:AK4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U46"/>
  <sheetViews>
    <sheetView workbookViewId="0"/>
  </sheetViews>
  <sheetFormatPr baseColWidth="10" defaultColWidth="8.83203125" defaultRowHeight="15" x14ac:dyDescent="0.2"/>
  <cols>
    <col min="2" max="2" width="16.1640625" bestFit="1" customWidth="1"/>
    <col min="3" max="3" width="0.83203125" customWidth="1"/>
    <col min="4" max="4" width="11.33203125" bestFit="1" customWidth="1"/>
    <col min="5" max="5" width="0.83203125" customWidth="1"/>
    <col min="6" max="6" width="14.6640625" customWidth="1"/>
    <col min="7" max="7" width="5.5" customWidth="1"/>
    <col min="8" max="8" width="8.6640625" customWidth="1"/>
    <col min="9" max="9" width="9.83203125" customWidth="1"/>
    <col min="10" max="10" width="9.5" customWidth="1"/>
    <col min="11" max="11" width="0.83203125" customWidth="1"/>
    <col min="12" max="12" width="12.5" customWidth="1"/>
    <col min="13" max="13" width="10.1640625" customWidth="1"/>
    <col min="15" max="15" width="0.83203125" customWidth="1"/>
    <col min="16" max="16" width="12.5" customWidth="1"/>
    <col min="17" max="18" width="9.6640625" customWidth="1"/>
    <col min="19" max="19" width="0.83203125" customWidth="1"/>
    <col min="20" max="20" width="12.5" customWidth="1"/>
    <col min="21" max="21" width="9.6640625" customWidth="1"/>
    <col min="23" max="23" width="0.83203125" customWidth="1"/>
    <col min="24" max="24" width="12.5" customWidth="1"/>
    <col min="25" max="25" width="10.5" customWidth="1"/>
    <col min="27" max="27" width="0.83203125" customWidth="1"/>
    <col min="28" max="28" width="13.5" customWidth="1"/>
    <col min="29" max="29" width="10.1640625" customWidth="1"/>
    <col min="30" max="30" width="0.83203125" customWidth="1"/>
    <col min="31" max="31" width="12.6640625" bestFit="1" customWidth="1"/>
    <col min="33" max="33" width="14.83203125" customWidth="1"/>
    <col min="34" max="34" width="0.83203125" customWidth="1"/>
    <col min="35" max="36" width="9.6640625" customWidth="1"/>
    <col min="37" max="37" width="10" customWidth="1"/>
    <col min="38" max="38" width="0.83203125" customWidth="1"/>
    <col min="39" max="39" width="11.1640625" customWidth="1"/>
    <col min="40" max="41" width="10" customWidth="1"/>
    <col min="42" max="42" width="0.83203125" customWidth="1"/>
    <col min="43" max="45" width="9.6640625" customWidth="1"/>
    <col min="46" max="46" width="0.83203125" customWidth="1"/>
    <col min="47" max="48" width="12.6640625" customWidth="1"/>
    <col min="49" max="49" width="0.83203125" customWidth="1"/>
    <col min="50" max="51" width="12.6640625" customWidth="1"/>
    <col min="52" max="52" width="0.83203125" customWidth="1"/>
    <col min="53" max="54" width="12.6640625" customWidth="1"/>
    <col min="55" max="55" width="0.83203125" customWidth="1"/>
    <col min="56" max="56" width="12.5" bestFit="1" customWidth="1"/>
    <col min="57" max="57" width="0.83203125" customWidth="1"/>
    <col min="58" max="58" width="15.6640625" bestFit="1" customWidth="1"/>
    <col min="59" max="59" width="0.83203125" customWidth="1"/>
    <col min="60" max="60" width="12.5" bestFit="1" customWidth="1"/>
    <col min="61" max="61" width="5.6640625" customWidth="1"/>
    <col min="63" max="63" width="5.6640625" customWidth="1"/>
    <col min="64" max="64" width="15.83203125" bestFit="1" customWidth="1"/>
    <col min="66" max="66" width="10.6640625" hidden="1" customWidth="1"/>
    <col min="67" max="67" width="7.83203125" hidden="1" customWidth="1"/>
    <col min="68" max="68" width="10.6640625" hidden="1" customWidth="1"/>
    <col min="69" max="69" width="9" hidden="1" customWidth="1"/>
  </cols>
  <sheetData>
    <row r="1" spans="1:69" x14ac:dyDescent="0.2">
      <c r="A1" s="2" t="s">
        <v>45</v>
      </c>
    </row>
    <row r="2" spans="1:69" x14ac:dyDescent="0.2">
      <c r="A2" s="40"/>
      <c r="BD2" s="103" t="s">
        <v>46</v>
      </c>
    </row>
    <row r="3" spans="1:69" x14ac:dyDescent="0.2">
      <c r="B3" s="252" t="s">
        <v>0</v>
      </c>
      <c r="C3" s="252"/>
      <c r="D3" s="252"/>
      <c r="E3" s="252"/>
      <c r="F3" s="252"/>
      <c r="H3" s="39" t="s">
        <v>1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J3" s="13" t="s">
        <v>2</v>
      </c>
      <c r="BL3" s="17" t="s">
        <v>3</v>
      </c>
      <c r="BN3" s="251" t="s">
        <v>4</v>
      </c>
      <c r="BO3" s="251"/>
      <c r="BP3" s="251"/>
      <c r="BQ3" s="251"/>
    </row>
    <row r="4" spans="1:69" x14ac:dyDescent="0.2">
      <c r="B4" s="38" t="s">
        <v>47</v>
      </c>
      <c r="C4" s="3"/>
      <c r="D4" s="38" t="s">
        <v>48</v>
      </c>
      <c r="E4" s="3"/>
      <c r="F4" s="32" t="s">
        <v>49</v>
      </c>
      <c r="H4" s="242" t="s">
        <v>10</v>
      </c>
      <c r="I4" s="242"/>
      <c r="J4" s="242"/>
      <c r="K4" s="3"/>
      <c r="L4" s="242" t="s">
        <v>11</v>
      </c>
      <c r="M4" s="242"/>
      <c r="N4" s="242"/>
      <c r="O4" s="3"/>
      <c r="P4" s="242" t="s">
        <v>12</v>
      </c>
      <c r="Q4" s="242"/>
      <c r="R4" s="242"/>
      <c r="S4" s="3"/>
      <c r="T4" s="242" t="s">
        <v>13</v>
      </c>
      <c r="U4" s="242"/>
      <c r="V4" s="242"/>
      <c r="W4" s="3"/>
      <c r="X4" s="242" t="s">
        <v>14</v>
      </c>
      <c r="Y4" s="242"/>
      <c r="Z4" s="242"/>
      <c r="AA4" s="3"/>
      <c r="AB4" s="242" t="s">
        <v>15</v>
      </c>
      <c r="AC4" s="242"/>
      <c r="AD4" s="3"/>
      <c r="AE4" s="242" t="s">
        <v>16</v>
      </c>
      <c r="AF4" s="242"/>
      <c r="AG4" s="242"/>
      <c r="AH4" s="12"/>
      <c r="AI4" s="242" t="s">
        <v>17</v>
      </c>
      <c r="AJ4" s="242"/>
      <c r="AK4" s="242"/>
      <c r="AL4" s="3"/>
      <c r="AM4" s="242" t="s">
        <v>18</v>
      </c>
      <c r="AN4" s="242"/>
      <c r="AO4" s="242"/>
      <c r="AP4" s="3"/>
      <c r="AQ4" s="242" t="s">
        <v>19</v>
      </c>
      <c r="AR4" s="242"/>
      <c r="AS4" s="242"/>
      <c r="AT4" s="3"/>
      <c r="AU4" s="245" t="s">
        <v>20</v>
      </c>
      <c r="AV4" s="245"/>
      <c r="AW4" s="3"/>
      <c r="AX4" s="245" t="s">
        <v>21</v>
      </c>
      <c r="AY4" s="245"/>
      <c r="AZ4" s="3"/>
      <c r="BA4" s="245" t="s">
        <v>22</v>
      </c>
      <c r="BB4" s="245"/>
      <c r="BC4" s="3"/>
      <c r="BD4" s="23" t="s">
        <v>23</v>
      </c>
      <c r="BE4" s="12"/>
      <c r="BF4" s="23" t="s">
        <v>24</v>
      </c>
      <c r="BG4" s="12"/>
      <c r="BH4" s="9" t="s">
        <v>25</v>
      </c>
    </row>
    <row r="5" spans="1:69" ht="15" customHeight="1" x14ac:dyDescent="0.2">
      <c r="B5" s="1" t="s">
        <v>50</v>
      </c>
      <c r="C5" s="1"/>
      <c r="D5" s="1" t="s">
        <v>51</v>
      </c>
      <c r="E5" s="1"/>
      <c r="H5" s="243" t="s">
        <v>26</v>
      </c>
      <c r="I5" s="243" t="s">
        <v>27</v>
      </c>
      <c r="J5" s="243" t="s">
        <v>28</v>
      </c>
      <c r="K5" s="10"/>
      <c r="L5" s="243" t="s">
        <v>29</v>
      </c>
      <c r="M5" s="243" t="s">
        <v>30</v>
      </c>
      <c r="N5" s="243" t="s">
        <v>28</v>
      </c>
      <c r="O5" s="10"/>
      <c r="P5" s="243" t="s">
        <v>29</v>
      </c>
      <c r="Q5" s="243" t="s">
        <v>30</v>
      </c>
      <c r="R5" s="243" t="s">
        <v>28</v>
      </c>
      <c r="S5" s="10"/>
      <c r="T5" s="243" t="s">
        <v>29</v>
      </c>
      <c r="U5" s="243" t="s">
        <v>30</v>
      </c>
      <c r="V5" s="243" t="s">
        <v>28</v>
      </c>
      <c r="W5" s="10"/>
      <c r="X5" s="243" t="s">
        <v>29</v>
      </c>
      <c r="Y5" s="243" t="s">
        <v>30</v>
      </c>
      <c r="Z5" s="243" t="s">
        <v>28</v>
      </c>
      <c r="AA5" s="10"/>
      <c r="AB5" s="244" t="s">
        <v>52</v>
      </c>
      <c r="AC5" s="243" t="s">
        <v>28</v>
      </c>
      <c r="AD5" s="10"/>
      <c r="AE5" s="254" t="s">
        <v>53</v>
      </c>
      <c r="AF5" s="255"/>
      <c r="AG5" s="256"/>
      <c r="AH5" s="11"/>
      <c r="AI5" s="241" t="s">
        <v>32</v>
      </c>
      <c r="AJ5" s="247" t="s">
        <v>33</v>
      </c>
      <c r="AK5" s="243" t="s">
        <v>28</v>
      </c>
      <c r="AL5" s="10"/>
      <c r="AM5" s="241" t="s">
        <v>34</v>
      </c>
      <c r="AN5" s="247" t="s">
        <v>33</v>
      </c>
      <c r="AO5" s="243" t="s">
        <v>28</v>
      </c>
      <c r="AP5" s="10"/>
      <c r="AQ5" s="241" t="s">
        <v>35</v>
      </c>
      <c r="AR5" s="247" t="s">
        <v>33</v>
      </c>
      <c r="AS5" s="243" t="s">
        <v>28</v>
      </c>
      <c r="AT5" s="10"/>
      <c r="AU5" s="244" t="s">
        <v>52</v>
      </c>
      <c r="AV5" s="243" t="s">
        <v>28</v>
      </c>
      <c r="AW5" s="10"/>
      <c r="AX5" s="244" t="s">
        <v>52</v>
      </c>
      <c r="AY5" s="243" t="s">
        <v>28</v>
      </c>
      <c r="AZ5" s="10"/>
      <c r="BA5" s="244" t="s">
        <v>52</v>
      </c>
      <c r="BB5" s="243" t="s">
        <v>28</v>
      </c>
      <c r="BC5" s="10"/>
      <c r="BD5" s="11"/>
      <c r="BE5" s="11"/>
      <c r="BF5" s="11" t="s">
        <v>36</v>
      </c>
      <c r="BG5" s="11"/>
      <c r="BH5" s="241" t="s">
        <v>37</v>
      </c>
      <c r="BJ5" s="241" t="s">
        <v>37</v>
      </c>
      <c r="BL5" s="241" t="s">
        <v>54</v>
      </c>
      <c r="BN5" s="10" t="s">
        <v>39</v>
      </c>
      <c r="BO5" s="10" t="s">
        <v>40</v>
      </c>
      <c r="BP5" s="10" t="s">
        <v>41</v>
      </c>
      <c r="BQ5" t="s">
        <v>10</v>
      </c>
    </row>
    <row r="6" spans="1:69" ht="16" x14ac:dyDescent="0.2">
      <c r="B6" s="1" t="s">
        <v>55</v>
      </c>
      <c r="C6" s="1"/>
      <c r="D6" s="11" t="s">
        <v>56</v>
      </c>
      <c r="E6" s="1"/>
      <c r="F6" s="24" t="s">
        <v>37</v>
      </c>
      <c r="H6" s="243"/>
      <c r="I6" s="243"/>
      <c r="J6" s="243"/>
      <c r="K6" s="10"/>
      <c r="L6" s="243"/>
      <c r="M6" s="243"/>
      <c r="N6" s="243"/>
      <c r="O6" s="10"/>
      <c r="P6" s="243"/>
      <c r="Q6" s="243"/>
      <c r="R6" s="243"/>
      <c r="S6" s="10"/>
      <c r="T6" s="243"/>
      <c r="U6" s="243"/>
      <c r="V6" s="243"/>
      <c r="W6" s="10"/>
      <c r="X6" s="243"/>
      <c r="Y6" s="243"/>
      <c r="Z6" s="243"/>
      <c r="AA6" s="10"/>
      <c r="AB6" s="244"/>
      <c r="AC6" s="243"/>
      <c r="AD6" s="10"/>
      <c r="AE6" s="18" t="s">
        <v>35</v>
      </c>
      <c r="AF6" s="18" t="s">
        <v>33</v>
      </c>
      <c r="AG6" s="19" t="s">
        <v>28</v>
      </c>
      <c r="AH6" s="11"/>
      <c r="AI6" s="241"/>
      <c r="AJ6" s="247"/>
      <c r="AK6" s="243"/>
      <c r="AL6" s="10"/>
      <c r="AM6" s="241"/>
      <c r="AN6" s="247"/>
      <c r="AO6" s="243"/>
      <c r="AP6" s="10"/>
      <c r="AQ6" s="241"/>
      <c r="AR6" s="247"/>
      <c r="AS6" s="243"/>
      <c r="AT6" s="10"/>
      <c r="AU6" s="244"/>
      <c r="AV6" s="243"/>
      <c r="AW6" s="10"/>
      <c r="AX6" s="244"/>
      <c r="AY6" s="243"/>
      <c r="AZ6" s="10"/>
      <c r="BA6" s="244"/>
      <c r="BB6" s="243"/>
      <c r="BC6" s="10"/>
      <c r="BD6" s="11" t="s">
        <v>42</v>
      </c>
      <c r="BE6" s="11"/>
      <c r="BF6" s="33">
        <v>0.12</v>
      </c>
      <c r="BG6" s="11"/>
      <c r="BH6" s="241"/>
      <c r="BJ6" s="241"/>
      <c r="BL6" s="241"/>
      <c r="BN6" s="249" t="s">
        <v>43</v>
      </c>
      <c r="BO6" s="249"/>
      <c r="BP6" s="249"/>
      <c r="BQ6" s="249"/>
    </row>
    <row r="7" spans="1:69" x14ac:dyDescent="0.2">
      <c r="A7">
        <v>2021</v>
      </c>
      <c r="B7" s="25">
        <f>+'Almonds Margin - Baseline'!B5</f>
        <v>6500</v>
      </c>
      <c r="D7" s="36">
        <f>+'Almonds Margin - Baseline'!D5</f>
        <v>2.48</v>
      </c>
      <c r="F7" s="20">
        <f>+D7*B7</f>
        <v>16120</v>
      </c>
      <c r="G7" s="35"/>
      <c r="H7" s="43">
        <f>+'Almonds Margin - Baseline'!H5</f>
        <v>557.54999999999995</v>
      </c>
      <c r="I7" s="44">
        <f>+'Almonds Margin - Baseline'!I5</f>
        <v>5.44</v>
      </c>
      <c r="J7" s="30">
        <f>+H7*I7</f>
        <v>3033.0720000000001</v>
      </c>
      <c r="L7" s="27">
        <f>+'Almonds Margin - Baseline'!L5</f>
        <v>5</v>
      </c>
      <c r="M7" s="45">
        <f>+'Almonds Margin - Baseline'!M5</f>
        <v>26.64</v>
      </c>
      <c r="N7" s="6">
        <f>+L7*M7</f>
        <v>133.19999999999999</v>
      </c>
      <c r="P7" s="27">
        <f>+'Almonds Margin - Baseline'!P5</f>
        <v>4</v>
      </c>
      <c r="Q7" s="45">
        <f>+'Almonds Margin - Baseline'!Q5</f>
        <v>36.46</v>
      </c>
      <c r="R7" s="6">
        <f>+P7*Q7</f>
        <v>145.84</v>
      </c>
      <c r="T7" s="27">
        <f>+'Almonds Margin - Baseline'!T5</f>
        <v>2</v>
      </c>
      <c r="U7" s="45">
        <f>+'Almonds Margin - Baseline'!U5</f>
        <v>17.05</v>
      </c>
      <c r="V7" s="21">
        <f>+T7*U7</f>
        <v>34.1</v>
      </c>
      <c r="W7" s="21"/>
      <c r="X7" s="27">
        <f>+'Almonds Margin - Baseline'!X5</f>
        <v>0</v>
      </c>
      <c r="Y7" s="45">
        <f>+'Almonds Margin - Baseline'!Y5</f>
        <v>0</v>
      </c>
      <c r="Z7" s="21">
        <f>+X7*Y7</f>
        <v>0</v>
      </c>
      <c r="AB7" s="27">
        <f>+'Almonds Margin - Baseline'!AB5</f>
        <v>3</v>
      </c>
      <c r="AC7" s="21">
        <f>+AB7*D7</f>
        <v>7.4399999999999995</v>
      </c>
      <c r="AD7" s="43">
        <f>+'Almonds Margin - Baseline'!AD5</f>
        <v>0</v>
      </c>
      <c r="AE7" s="45">
        <f>+'Almonds Margin - Baseline'!AE5</f>
        <v>75.84</v>
      </c>
      <c r="AF7" s="45">
        <f>+'Almonds Margin - Baseline'!AF5</f>
        <v>85</v>
      </c>
      <c r="AG7" s="21">
        <f>+AE7*AF7</f>
        <v>6446.4000000000005</v>
      </c>
      <c r="AI7" s="27">
        <f>+'Almonds Margin - Baseline'!AI5</f>
        <v>14</v>
      </c>
      <c r="AJ7" s="45">
        <f>+'Almonds Margin - Baseline'!AJ5</f>
        <v>99</v>
      </c>
      <c r="AK7" s="21">
        <f>+AI7*AJ7</f>
        <v>1386</v>
      </c>
      <c r="AL7" s="21"/>
      <c r="AM7" s="27">
        <f>+'Almonds Margin - Baseline'!AM5</f>
        <v>5</v>
      </c>
      <c r="AN7" s="45">
        <f>+'Almonds Margin - Baseline'!AN5</f>
        <v>180</v>
      </c>
      <c r="AO7" s="21">
        <f>+AM7*AN7</f>
        <v>900</v>
      </c>
      <c r="AQ7" s="45">
        <f>+'Almonds Margin - Baseline'!AQ5</f>
        <v>0</v>
      </c>
      <c r="AR7" s="45">
        <f>+'Almonds Margin - Baseline'!AR5</f>
        <v>0</v>
      </c>
      <c r="AS7" s="21">
        <f>+AQ7*AR7</f>
        <v>0</v>
      </c>
      <c r="AU7" s="41">
        <f>+'Almonds Margin - Baseline'!AU5</f>
        <v>0</v>
      </c>
      <c r="AV7" s="21">
        <f t="shared" ref="AV7:AV41" si="0">+AU7*D7</f>
        <v>0</v>
      </c>
      <c r="AX7" s="41">
        <f>+'Almonds Margin - Baseline'!AX5</f>
        <v>0</v>
      </c>
      <c r="AY7" s="21">
        <f t="shared" ref="AY7:AY41" si="1">+AX7*D7</f>
        <v>0</v>
      </c>
      <c r="BA7" s="41">
        <f>+'Almonds Margin - Baseline'!BA5</f>
        <v>0</v>
      </c>
      <c r="BB7" s="21">
        <f>+BA7*D7</f>
        <v>0</v>
      </c>
      <c r="BD7" s="45">
        <f>0.016*(D7*1000)</f>
        <v>39.68</v>
      </c>
      <c r="BE7" s="6"/>
      <c r="BF7" s="21">
        <f t="shared" ref="BF7:BF41" si="2">0.12*F7</f>
        <v>1934.3999999999999</v>
      </c>
      <c r="BH7" s="21">
        <f>+J7+N7+R7+V7+Z7+AC7+AG7+AK7+AO7+AS7+AV7+AY7+BB7+BD7+BF7</f>
        <v>14060.132</v>
      </c>
      <c r="BJ7" s="21">
        <f t="shared" ref="BJ7:BJ41" si="3">+F7-BH7</f>
        <v>2059.8680000000004</v>
      </c>
      <c r="BL7" s="21">
        <f>(J7+N7+R7+V7+Z7+AG7+AK7+AO7+AS7)/((B7-AB7-BA7-0.07-0.12*B7)+(-AU7-AX7))</f>
        <v>2.1127794113274083</v>
      </c>
      <c r="BN7" s="45">
        <f>+'Almonds Margin - Baseline'!BN5</f>
        <v>128.4</v>
      </c>
      <c r="BO7" s="45">
        <f>+'Almonds Margin - Baseline'!BO5</f>
        <v>141.80000000000001</v>
      </c>
      <c r="BP7" s="45">
        <v>76.917089432293665</v>
      </c>
      <c r="BQ7" s="45">
        <v>99.691915734713831</v>
      </c>
    </row>
    <row r="8" spans="1:69" x14ac:dyDescent="0.2">
      <c r="A8" s="8">
        <f t="shared" ref="A8:A41" si="4">+A7+1</f>
        <v>2022</v>
      </c>
      <c r="B8" s="34">
        <f>+'Almonds Margin - Baseline'!B6</f>
        <v>6595.1713395638626</v>
      </c>
      <c r="D8" s="28">
        <f t="shared" ref="D8:D20" si="5">D7*((D$21/D$7)^(1/($A$21-$A$7)))</f>
        <v>2.48</v>
      </c>
      <c r="F8" s="22">
        <f>+D8*B8</f>
        <v>16356.024922118379</v>
      </c>
      <c r="G8" s="35"/>
      <c r="H8" s="28">
        <f>+H7</f>
        <v>557.54999999999995</v>
      </c>
      <c r="I8" s="14">
        <f t="shared" ref="I8:I41" si="6">+I7*$BQ8/$BQ7</f>
        <v>5.4103272727272742</v>
      </c>
      <c r="J8" s="31">
        <f t="shared" ref="J8:J41" si="7">+H8*I8</f>
        <v>3016.5279709090914</v>
      </c>
      <c r="L8" s="15">
        <f>+L7</f>
        <v>5</v>
      </c>
      <c r="M8" s="7">
        <f t="shared" ref="M8:M41" si="8">+M7*$BQ8/$BQ7</f>
        <v>26.49469090909091</v>
      </c>
      <c r="N8" s="7">
        <f t="shared" ref="N8:N41" si="9">+L8*M8</f>
        <v>132.47345454545456</v>
      </c>
      <c r="P8" s="15">
        <f>+P7</f>
        <v>4</v>
      </c>
      <c r="Q8" s="7">
        <f t="shared" ref="Q8:Q41" si="10">+Q7*$BQ8/$BQ7</f>
        <v>36.261127272727279</v>
      </c>
      <c r="R8" s="7">
        <f t="shared" ref="R8:R41" si="11">+P8*Q8</f>
        <v>145.04450909090912</v>
      </c>
      <c r="T8" s="15">
        <f>+T7</f>
        <v>2</v>
      </c>
      <c r="U8" s="7">
        <f t="shared" ref="U8:U41" si="12">+U7*$BQ8/$BQ7</f>
        <v>16.957000000000004</v>
      </c>
      <c r="V8" s="22">
        <f t="shared" ref="V8:V41" si="13">+T8*U8</f>
        <v>33.914000000000009</v>
      </c>
      <c r="W8" s="22"/>
      <c r="X8" s="15">
        <f>+X7</f>
        <v>0</v>
      </c>
      <c r="Y8" s="7">
        <f t="shared" ref="Y8:Y41" si="14">+Y7*$BQ8/$BQ7</f>
        <v>0</v>
      </c>
      <c r="Z8" s="22">
        <f t="shared" ref="Z8:Z41" si="15">+X8*Y8</f>
        <v>0</v>
      </c>
      <c r="AB8" s="15">
        <f t="shared" ref="AB8:AB41" si="16">+AB7*(0.5*$BO8/$BO7+0.5*$BP8/$BP7)</f>
        <v>3.048</v>
      </c>
      <c r="AC8" s="22">
        <f>+AB8*D8</f>
        <v>7.5590400000000004</v>
      </c>
      <c r="AE8" s="7">
        <f>+AE7</f>
        <v>75.84</v>
      </c>
      <c r="AF8" s="7">
        <f t="shared" ref="AF8:AF41" si="17">+AF7*(0.5*$BO8/$BO7+0.5*$BP8/$BP7)</f>
        <v>86.36</v>
      </c>
      <c r="AG8" s="22">
        <f t="shared" ref="AG8:AG41" si="18">+AE8*AF8</f>
        <v>6549.5424000000003</v>
      </c>
      <c r="AI8" s="15">
        <f>+AI7</f>
        <v>14</v>
      </c>
      <c r="AJ8" s="7">
        <f t="shared" ref="AJ8:AJ41" si="19">+AJ7*$BN8/$BN7</f>
        <v>100.44953271028037</v>
      </c>
      <c r="AK8" s="22">
        <f t="shared" ref="AK8:AK41" si="20">+AI8*AJ8</f>
        <v>1406.2934579439252</v>
      </c>
      <c r="AL8" s="22"/>
      <c r="AM8" s="15">
        <f>+AM7</f>
        <v>5</v>
      </c>
      <c r="AN8" s="7">
        <f t="shared" ref="AN8:AN41" si="21">+AN7*$BN8/$BN7</f>
        <v>182.63551401869159</v>
      </c>
      <c r="AO8" s="22">
        <f t="shared" ref="AO8:AO41" si="22">+AM8*AN8</f>
        <v>913.17757009345792</v>
      </c>
      <c r="AQ8" s="7">
        <f>+AQ7</f>
        <v>0</v>
      </c>
      <c r="AR8" s="7">
        <f t="shared" ref="AR8:AR41" si="23">+AR7*$BO8/$BO7</f>
        <v>0</v>
      </c>
      <c r="AS8" s="22">
        <f>+AQ8*AR8</f>
        <v>0</v>
      </c>
      <c r="AU8" s="34">
        <f t="shared" ref="AU8:AU41" si="24">+AU7*$BN8/$BN7</f>
        <v>0</v>
      </c>
      <c r="AV8" s="22">
        <f t="shared" si="0"/>
        <v>0</v>
      </c>
      <c r="AX8" s="34">
        <f t="shared" ref="AX8:AX41" si="25">+AX7*$BN8/$BN7</f>
        <v>0</v>
      </c>
      <c r="AY8" s="22">
        <f t="shared" si="1"/>
        <v>0</v>
      </c>
      <c r="BA8" s="34">
        <f t="shared" ref="BA8:BA41" si="26">+BA7*$BN8/$BN7</f>
        <v>0</v>
      </c>
      <c r="BB8" s="22">
        <f>+BA8*D8</f>
        <v>0</v>
      </c>
      <c r="BD8" s="22">
        <f>0.016*(D8*1000)</f>
        <v>39.68</v>
      </c>
      <c r="BE8" s="7"/>
      <c r="BF8" s="22">
        <f t="shared" si="2"/>
        <v>1962.7229906542054</v>
      </c>
      <c r="BH8" s="22">
        <f>+J8+N8+R8+V8+Z8+AC8+AG8+AK8+AO8+AS8+AV8+AY8+BB8+BD8+BF8</f>
        <v>14206.935393237045</v>
      </c>
      <c r="BJ8" s="22">
        <f t="shared" si="3"/>
        <v>2149.0895288813335</v>
      </c>
      <c r="BL8" s="22">
        <f>(J8+N8+R8+V8+Z8+AG8+AK8+AO8+AS8)/((B8-AB8-BA8-0.07-0.12*B8)+(-AU8-AX8))</f>
        <v>2.1026970380069487</v>
      </c>
      <c r="BN8" s="7">
        <f>+'Almonds Margin - Baseline'!BN6</f>
        <v>130.28</v>
      </c>
      <c r="BO8" s="7">
        <f>+'Almonds Margin - Baseline'!BO6</f>
        <v>146.33760000000001</v>
      </c>
      <c r="BP8" s="7">
        <v>76.917089432293665</v>
      </c>
      <c r="BQ8" s="7">
        <v>99.148141648888128</v>
      </c>
    </row>
    <row r="9" spans="1:69" x14ac:dyDescent="0.2">
      <c r="A9" s="8">
        <f t="shared" si="4"/>
        <v>2023</v>
      </c>
      <c r="B9" s="34">
        <f>+'Almonds Margin - Baseline'!B7</f>
        <v>6826.0124610591902</v>
      </c>
      <c r="D9" s="28">
        <f t="shared" si="5"/>
        <v>2.48</v>
      </c>
      <c r="F9" s="22">
        <f t="shared" ref="F9:F41" si="27">+D9*B9</f>
        <v>16928.510903426792</v>
      </c>
      <c r="G9" s="35"/>
      <c r="H9" s="28">
        <f t="shared" ref="H9:H41" si="28">+H8</f>
        <v>557.54999999999995</v>
      </c>
      <c r="I9" s="14">
        <f t="shared" si="6"/>
        <v>5.134700396418423</v>
      </c>
      <c r="J9" s="31">
        <f t="shared" si="7"/>
        <v>2862.8522060230916</v>
      </c>
      <c r="L9" s="15">
        <f t="shared" ref="L9:L41" si="29">+L8</f>
        <v>5</v>
      </c>
      <c r="M9" s="7">
        <f t="shared" si="8"/>
        <v>25.144929882460797</v>
      </c>
      <c r="N9" s="7">
        <f t="shared" si="9"/>
        <v>125.72464941230399</v>
      </c>
      <c r="P9" s="15">
        <f t="shared" ref="P9:P41" si="30">+P8</f>
        <v>4</v>
      </c>
      <c r="Q9" s="7">
        <f t="shared" si="10"/>
        <v>34.413819200995526</v>
      </c>
      <c r="R9" s="7">
        <f t="shared" si="11"/>
        <v>137.6552768039821</v>
      </c>
      <c r="T9" s="15">
        <f t="shared" ref="T9:T41" si="31">+T8</f>
        <v>2</v>
      </c>
      <c r="U9" s="7">
        <f t="shared" si="12"/>
        <v>16.093132676274653</v>
      </c>
      <c r="V9" s="22">
        <f t="shared" si="13"/>
        <v>32.186265352549306</v>
      </c>
      <c r="W9" s="22"/>
      <c r="X9" s="15">
        <f t="shared" ref="X9:X41" si="32">+X8</f>
        <v>0</v>
      </c>
      <c r="Y9" s="7">
        <f t="shared" si="14"/>
        <v>0</v>
      </c>
      <c r="Z9" s="22">
        <f t="shared" si="15"/>
        <v>0</v>
      </c>
      <c r="AB9" s="15">
        <f t="shared" si="16"/>
        <v>3.0177073881606553</v>
      </c>
      <c r="AC9" s="22">
        <f t="shared" ref="AC9:AC41" si="33">+AB9*D9</f>
        <v>7.4839143226384248</v>
      </c>
      <c r="AE9" s="7">
        <f t="shared" ref="AE9:AE41" si="34">+AE8</f>
        <v>75.84</v>
      </c>
      <c r="AF9" s="7">
        <f t="shared" si="17"/>
        <v>85.501709331218564</v>
      </c>
      <c r="AG9" s="22">
        <f t="shared" si="18"/>
        <v>6484.4496356796162</v>
      </c>
      <c r="AI9" s="15">
        <f t="shared" ref="AI9:AI41" si="35">+AI8</f>
        <v>14</v>
      </c>
      <c r="AJ9" s="7">
        <f t="shared" si="19"/>
        <v>103.96542056074766</v>
      </c>
      <c r="AK9" s="22">
        <f t="shared" si="20"/>
        <v>1455.5158878504672</v>
      </c>
      <c r="AL9" s="22"/>
      <c r="AM9" s="15">
        <f t="shared" ref="AM9:AM41" si="36">+AM8</f>
        <v>5</v>
      </c>
      <c r="AN9" s="7">
        <f t="shared" si="21"/>
        <v>189.02803738317758</v>
      </c>
      <c r="AO9" s="22">
        <f t="shared" si="22"/>
        <v>945.14018691588785</v>
      </c>
      <c r="AQ9" s="7">
        <f t="shared" ref="AQ9:AQ41" si="37">+AQ8</f>
        <v>0</v>
      </c>
      <c r="AR9" s="7">
        <f t="shared" si="23"/>
        <v>0</v>
      </c>
      <c r="AS9" s="22">
        <f t="shared" ref="AS9:AS41" si="38">+AQ9*AR9</f>
        <v>0</v>
      </c>
      <c r="AU9" s="34">
        <f t="shared" si="24"/>
        <v>0</v>
      </c>
      <c r="AV9" s="22">
        <f t="shared" si="0"/>
        <v>0</v>
      </c>
      <c r="AX9" s="34">
        <f t="shared" si="25"/>
        <v>0</v>
      </c>
      <c r="AY9" s="22">
        <f t="shared" si="1"/>
        <v>0</v>
      </c>
      <c r="BA9" s="34">
        <f t="shared" si="26"/>
        <v>0</v>
      </c>
      <c r="BB9" s="22">
        <f t="shared" ref="BB9:BB41" si="39">+BA9*D9</f>
        <v>0</v>
      </c>
      <c r="BD9" s="22">
        <f t="shared" ref="BD9:BD41" si="40">0.016*(D9*1000)</f>
        <v>39.68</v>
      </c>
      <c r="BE9" s="7"/>
      <c r="BF9" s="22">
        <f t="shared" si="2"/>
        <v>2031.421308411215</v>
      </c>
      <c r="BH9" s="22">
        <f t="shared" ref="BH9:BH41" si="41">+J9+N9+R9+V9+Z9+AC9+AG9+AK9+AO9+AS9+AV9+AY9+BB9+BD9+BF9</f>
        <v>14122.109330771751</v>
      </c>
      <c r="BJ9" s="22">
        <f t="shared" si="3"/>
        <v>2806.4015726550406</v>
      </c>
      <c r="BL9" s="22">
        <f t="shared" ref="BL9:BL41" si="42">(J9+N9+R9+V9+Z9+AG9+AK9+AO9+AS9)/((B9-AB9-BA9-0.07-0.12*B9)+(-AU9-AX9))</f>
        <v>2.0059824730765663</v>
      </c>
      <c r="BN9" s="7">
        <f>+'Almonds Margin - Baseline'!BN7</f>
        <v>134.84</v>
      </c>
      <c r="BO9" s="7">
        <f>+'Almonds Margin - Baseline'!BO7</f>
        <v>151.0204032</v>
      </c>
      <c r="BP9" s="7">
        <v>72.926858361808939</v>
      </c>
      <c r="BQ9" s="7">
        <v>94.09708074315202</v>
      </c>
    </row>
    <row r="10" spans="1:69" x14ac:dyDescent="0.2">
      <c r="A10" s="8">
        <f t="shared" si="4"/>
        <v>2024</v>
      </c>
      <c r="B10" s="34">
        <f>+'Almonds Margin - Baseline'!B8</f>
        <v>6996.6121495327106</v>
      </c>
      <c r="D10" s="28">
        <f t="shared" si="5"/>
        <v>2.48</v>
      </c>
      <c r="F10" s="22">
        <f t="shared" si="27"/>
        <v>17351.598130841121</v>
      </c>
      <c r="G10" s="35"/>
      <c r="H10" s="28">
        <f t="shared" si="28"/>
        <v>557.54999999999995</v>
      </c>
      <c r="I10" s="14">
        <f t="shared" si="6"/>
        <v>4.9752171103675877</v>
      </c>
      <c r="J10" s="31">
        <f t="shared" si="7"/>
        <v>2773.9322998854482</v>
      </c>
      <c r="L10" s="15">
        <f t="shared" si="29"/>
        <v>5</v>
      </c>
      <c r="M10" s="7">
        <f t="shared" si="8"/>
        <v>24.363930849300086</v>
      </c>
      <c r="N10" s="7">
        <f t="shared" si="9"/>
        <v>121.81965424650043</v>
      </c>
      <c r="P10" s="15">
        <f t="shared" si="30"/>
        <v>4</v>
      </c>
      <c r="Q10" s="7">
        <f t="shared" si="10"/>
        <v>33.34492938308864</v>
      </c>
      <c r="R10" s="7">
        <f t="shared" si="11"/>
        <v>133.37971753235456</v>
      </c>
      <c r="T10" s="15">
        <f t="shared" si="31"/>
        <v>2</v>
      </c>
      <c r="U10" s="7">
        <f t="shared" si="12"/>
        <v>15.593281568339588</v>
      </c>
      <c r="V10" s="22">
        <f t="shared" si="13"/>
        <v>31.186563136679176</v>
      </c>
      <c r="W10" s="22"/>
      <c r="X10" s="15">
        <f t="shared" si="32"/>
        <v>0</v>
      </c>
      <c r="Y10" s="7">
        <f t="shared" si="14"/>
        <v>0</v>
      </c>
      <c r="Z10" s="22">
        <f t="shared" si="15"/>
        <v>0</v>
      </c>
      <c r="AB10" s="15">
        <f t="shared" si="16"/>
        <v>3.0287282202984667</v>
      </c>
      <c r="AC10" s="22">
        <f t="shared" si="33"/>
        <v>7.5112459863401977</v>
      </c>
      <c r="AE10" s="7">
        <f t="shared" si="34"/>
        <v>75.84</v>
      </c>
      <c r="AF10" s="7">
        <f t="shared" si="17"/>
        <v>85.813966241789885</v>
      </c>
      <c r="AG10" s="22">
        <f t="shared" si="18"/>
        <v>6508.1311997773455</v>
      </c>
      <c r="AI10" s="15">
        <f t="shared" si="35"/>
        <v>14</v>
      </c>
      <c r="AJ10" s="7">
        <f t="shared" si="19"/>
        <v>106.56378504672897</v>
      </c>
      <c r="AK10" s="22">
        <f t="shared" si="20"/>
        <v>1491.8929906542055</v>
      </c>
      <c r="AL10" s="22"/>
      <c r="AM10" s="15">
        <f t="shared" si="36"/>
        <v>5</v>
      </c>
      <c r="AN10" s="7">
        <f t="shared" si="21"/>
        <v>193.75233644859813</v>
      </c>
      <c r="AO10" s="22">
        <f t="shared" si="22"/>
        <v>968.76168224299067</v>
      </c>
      <c r="AQ10" s="7">
        <f t="shared" si="37"/>
        <v>0</v>
      </c>
      <c r="AR10" s="7">
        <f t="shared" si="23"/>
        <v>0</v>
      </c>
      <c r="AS10" s="22">
        <f t="shared" si="38"/>
        <v>0</v>
      </c>
      <c r="AU10" s="34">
        <f t="shared" si="24"/>
        <v>0</v>
      </c>
      <c r="AV10" s="22">
        <f t="shared" si="0"/>
        <v>0</v>
      </c>
      <c r="AX10" s="34">
        <f t="shared" si="25"/>
        <v>0</v>
      </c>
      <c r="AY10" s="22">
        <f t="shared" si="1"/>
        <v>0</v>
      </c>
      <c r="BA10" s="34">
        <f t="shared" si="26"/>
        <v>0</v>
      </c>
      <c r="BB10" s="22">
        <f t="shared" si="39"/>
        <v>0</v>
      </c>
      <c r="BD10" s="22">
        <f t="shared" si="40"/>
        <v>39.68</v>
      </c>
      <c r="BE10" s="7"/>
      <c r="BF10" s="22">
        <f t="shared" si="2"/>
        <v>2082.1917757009346</v>
      </c>
      <c r="BH10" s="22">
        <f t="shared" si="41"/>
        <v>14158.487129162799</v>
      </c>
      <c r="BJ10" s="22">
        <f t="shared" si="3"/>
        <v>3193.1110016783223</v>
      </c>
      <c r="BL10" s="22">
        <f t="shared" si="42"/>
        <v>1.9547059726287244</v>
      </c>
      <c r="BN10" s="7">
        <f>+'Almonds Margin - Baseline'!BN8</f>
        <v>138.21</v>
      </c>
      <c r="BO10" s="7">
        <f>+'Almonds Margin - Baseline'!BO8</f>
        <v>155.85305610240002</v>
      </c>
      <c r="BP10" s="7">
        <v>71.125864630807527</v>
      </c>
      <c r="BQ10" s="7">
        <v>91.174434729535264</v>
      </c>
    </row>
    <row r="11" spans="1:69" x14ac:dyDescent="0.2">
      <c r="A11" s="8">
        <f t="shared" si="4"/>
        <v>2025</v>
      </c>
      <c r="B11" s="34">
        <f>+'Almonds Margin - Baseline'!B9</f>
        <v>7220.5037383177578</v>
      </c>
      <c r="D11" s="28">
        <f t="shared" si="5"/>
        <v>2.48</v>
      </c>
      <c r="F11" s="22">
        <f t="shared" si="27"/>
        <v>17906.849271028041</v>
      </c>
      <c r="G11" s="35"/>
      <c r="H11" s="28">
        <f t="shared" si="28"/>
        <v>557.54999999999995</v>
      </c>
      <c r="I11" s="14">
        <f t="shared" si="6"/>
        <v>4.8985986253637215</v>
      </c>
      <c r="J11" s="31">
        <f t="shared" si="7"/>
        <v>2731.2136635715428</v>
      </c>
      <c r="L11" s="15">
        <f t="shared" si="29"/>
        <v>5</v>
      </c>
      <c r="M11" s="7">
        <f t="shared" si="8"/>
        <v>23.98872562126645</v>
      </c>
      <c r="N11" s="7">
        <f t="shared" si="9"/>
        <v>119.94362810633226</v>
      </c>
      <c r="P11" s="15">
        <f t="shared" si="30"/>
        <v>4</v>
      </c>
      <c r="Q11" s="7">
        <f t="shared" si="10"/>
        <v>32.831416522198758</v>
      </c>
      <c r="R11" s="7">
        <f t="shared" si="11"/>
        <v>131.32566608879503</v>
      </c>
      <c r="T11" s="15">
        <f t="shared" si="31"/>
        <v>2</v>
      </c>
      <c r="U11" s="7">
        <f t="shared" si="12"/>
        <v>15.353144588685927</v>
      </c>
      <c r="V11" s="22">
        <f t="shared" si="13"/>
        <v>30.706289177371854</v>
      </c>
      <c r="W11" s="22"/>
      <c r="X11" s="15">
        <f t="shared" si="32"/>
        <v>0</v>
      </c>
      <c r="Y11" s="7">
        <f t="shared" si="14"/>
        <v>0</v>
      </c>
      <c r="Z11" s="22">
        <f t="shared" si="15"/>
        <v>0</v>
      </c>
      <c r="AB11" s="15">
        <f t="shared" si="16"/>
        <v>3.0665911269063368</v>
      </c>
      <c r="AC11" s="22">
        <f t="shared" si="33"/>
        <v>7.6051459947277156</v>
      </c>
      <c r="AE11" s="7">
        <f t="shared" si="34"/>
        <v>75.84</v>
      </c>
      <c r="AF11" s="7">
        <f t="shared" si="17"/>
        <v>86.886748595679549</v>
      </c>
      <c r="AG11" s="22">
        <f t="shared" si="18"/>
        <v>6589.4910134963375</v>
      </c>
      <c r="AI11" s="15">
        <f t="shared" si="35"/>
        <v>14</v>
      </c>
      <c r="AJ11" s="7">
        <f t="shared" si="19"/>
        <v>109.97382616822429</v>
      </c>
      <c r="AK11" s="22">
        <f t="shared" si="20"/>
        <v>1539.6335663551401</v>
      </c>
      <c r="AL11" s="22"/>
      <c r="AM11" s="15">
        <f t="shared" si="36"/>
        <v>5</v>
      </c>
      <c r="AN11" s="7">
        <f t="shared" si="21"/>
        <v>199.95241121495326</v>
      </c>
      <c r="AO11" s="22">
        <f t="shared" si="22"/>
        <v>999.76205607476629</v>
      </c>
      <c r="AQ11" s="7">
        <f t="shared" si="37"/>
        <v>0</v>
      </c>
      <c r="AR11" s="7">
        <f t="shared" si="23"/>
        <v>0</v>
      </c>
      <c r="AS11" s="22">
        <f t="shared" si="38"/>
        <v>0</v>
      </c>
      <c r="AU11" s="34">
        <f t="shared" si="24"/>
        <v>0</v>
      </c>
      <c r="AV11" s="22">
        <f t="shared" si="0"/>
        <v>0</v>
      </c>
      <c r="AX11" s="34">
        <f t="shared" si="25"/>
        <v>0</v>
      </c>
      <c r="AY11" s="22">
        <f t="shared" si="1"/>
        <v>0</v>
      </c>
      <c r="BA11" s="34">
        <f t="shared" si="26"/>
        <v>0</v>
      </c>
      <c r="BB11" s="22">
        <f t="shared" si="39"/>
        <v>0</v>
      </c>
      <c r="BD11" s="22">
        <f t="shared" si="40"/>
        <v>39.68</v>
      </c>
      <c r="BE11" s="7"/>
      <c r="BF11" s="22">
        <f t="shared" si="2"/>
        <v>2148.821912523365</v>
      </c>
      <c r="BH11" s="22">
        <f t="shared" si="41"/>
        <v>14338.182941388377</v>
      </c>
      <c r="BJ11" s="22">
        <f t="shared" si="3"/>
        <v>3568.6663296396637</v>
      </c>
      <c r="BL11" s="22">
        <f t="shared" si="42"/>
        <v>1.911864944506398</v>
      </c>
      <c r="BN11" s="7">
        <f>+'Almonds Margin - Baseline'!BN9</f>
        <v>142.63272000000001</v>
      </c>
      <c r="BO11" s="7">
        <f>+'Almonds Margin - Baseline'!BO9</f>
        <v>160.84035389767681</v>
      </c>
      <c r="BP11" s="7">
        <v>70.628162235831525</v>
      </c>
      <c r="BQ11" s="7">
        <v>89.770345841534009</v>
      </c>
    </row>
    <row r="12" spans="1:69" x14ac:dyDescent="0.2">
      <c r="A12" s="8">
        <f t="shared" si="4"/>
        <v>2026</v>
      </c>
      <c r="B12" s="34">
        <f>+'Almonds Margin - Baseline'!B10</f>
        <v>7451.5598579439265</v>
      </c>
      <c r="D12" s="28">
        <f t="shared" si="5"/>
        <v>2.48</v>
      </c>
      <c r="F12" s="22">
        <f t="shared" si="27"/>
        <v>18479.868447700937</v>
      </c>
      <c r="G12" s="35"/>
      <c r="H12" s="28">
        <f t="shared" si="28"/>
        <v>557.54999999999995</v>
      </c>
      <c r="I12" s="14">
        <f t="shared" si="6"/>
        <v>4.8922649609697615</v>
      </c>
      <c r="J12" s="31">
        <f t="shared" si="7"/>
        <v>2727.6823289886902</v>
      </c>
      <c r="L12" s="15">
        <f t="shared" si="29"/>
        <v>5</v>
      </c>
      <c r="M12" s="7">
        <f t="shared" si="8"/>
        <v>23.957709294160736</v>
      </c>
      <c r="N12" s="7">
        <f t="shared" si="9"/>
        <v>119.78854647080368</v>
      </c>
      <c r="P12" s="15">
        <f t="shared" si="30"/>
        <v>4</v>
      </c>
      <c r="Q12" s="7">
        <f t="shared" si="10"/>
        <v>32.78896699944071</v>
      </c>
      <c r="R12" s="7">
        <f t="shared" si="11"/>
        <v>131.15586799776284</v>
      </c>
      <c r="T12" s="15">
        <f t="shared" si="31"/>
        <v>2</v>
      </c>
      <c r="U12" s="7">
        <f t="shared" si="12"/>
        <v>15.333293673627653</v>
      </c>
      <c r="V12" s="22">
        <f t="shared" si="13"/>
        <v>30.666587347255305</v>
      </c>
      <c r="W12" s="22"/>
      <c r="X12" s="15">
        <f t="shared" si="32"/>
        <v>0</v>
      </c>
      <c r="Y12" s="7">
        <f t="shared" si="14"/>
        <v>0</v>
      </c>
      <c r="Z12" s="22">
        <f t="shared" si="15"/>
        <v>0</v>
      </c>
      <c r="AB12" s="15">
        <f t="shared" si="16"/>
        <v>3.1599580903235309</v>
      </c>
      <c r="AC12" s="22">
        <f t="shared" si="33"/>
        <v>7.8366960640023562</v>
      </c>
      <c r="AE12" s="7">
        <f t="shared" si="34"/>
        <v>75.84</v>
      </c>
      <c r="AF12" s="7">
        <f t="shared" si="17"/>
        <v>89.53214589250004</v>
      </c>
      <c r="AG12" s="22">
        <f t="shared" si="18"/>
        <v>6790.1179444872032</v>
      </c>
      <c r="AI12" s="15">
        <f t="shared" si="35"/>
        <v>14</v>
      </c>
      <c r="AJ12" s="7">
        <f t="shared" si="19"/>
        <v>113.49298860560747</v>
      </c>
      <c r="AK12" s="22">
        <f t="shared" si="20"/>
        <v>1588.9018404785045</v>
      </c>
      <c r="AL12" s="22"/>
      <c r="AM12" s="15">
        <f t="shared" si="36"/>
        <v>5</v>
      </c>
      <c r="AN12" s="7">
        <f t="shared" si="21"/>
        <v>206.35088837383174</v>
      </c>
      <c r="AO12" s="22">
        <f t="shared" si="22"/>
        <v>1031.7544418691587</v>
      </c>
      <c r="AQ12" s="7">
        <f t="shared" si="37"/>
        <v>0</v>
      </c>
      <c r="AR12" s="7">
        <f t="shared" si="23"/>
        <v>0</v>
      </c>
      <c r="AS12" s="22">
        <f t="shared" si="38"/>
        <v>0</v>
      </c>
      <c r="AU12" s="34">
        <f t="shared" si="24"/>
        <v>0</v>
      </c>
      <c r="AV12" s="22">
        <f t="shared" si="0"/>
        <v>0</v>
      </c>
      <c r="AX12" s="34">
        <f t="shared" si="25"/>
        <v>0</v>
      </c>
      <c r="AY12" s="22">
        <f t="shared" si="1"/>
        <v>0</v>
      </c>
      <c r="BA12" s="34">
        <f t="shared" si="26"/>
        <v>0</v>
      </c>
      <c r="BB12" s="22">
        <f t="shared" si="39"/>
        <v>0</v>
      </c>
      <c r="BD12" s="22">
        <f t="shared" si="40"/>
        <v>39.68</v>
      </c>
      <c r="BE12" s="7"/>
      <c r="BF12" s="22">
        <f t="shared" si="2"/>
        <v>2217.5842137241125</v>
      </c>
      <c r="BH12" s="22">
        <f t="shared" si="41"/>
        <v>14685.168467427495</v>
      </c>
      <c r="BJ12" s="22">
        <f t="shared" si="3"/>
        <v>3794.6999802734426</v>
      </c>
      <c r="BL12" s="22">
        <f t="shared" si="42"/>
        <v>1.8949949816645482</v>
      </c>
      <c r="BN12" s="7">
        <f>+'Almonds Margin - Baseline'!BN10</f>
        <v>147.19696704</v>
      </c>
      <c r="BO12" s="7">
        <f>+'Almonds Margin - Baseline'!BO10</f>
        <v>165.98724522240246</v>
      </c>
      <c r="BP12" s="7">
        <v>72.668821574006429</v>
      </c>
      <c r="BQ12" s="7">
        <v>89.654276882516626</v>
      </c>
    </row>
    <row r="13" spans="1:69" x14ac:dyDescent="0.2">
      <c r="A13" s="8">
        <f t="shared" si="4"/>
        <v>2027</v>
      </c>
      <c r="B13" s="34">
        <f>+'Almonds Margin - Baseline'!B11</f>
        <v>7690.009773398132</v>
      </c>
      <c r="D13" s="28">
        <f t="shared" si="5"/>
        <v>2.48</v>
      </c>
      <c r="F13" s="22">
        <f t="shared" si="27"/>
        <v>19071.224238027367</v>
      </c>
      <c r="G13" s="35"/>
      <c r="H13" s="28">
        <f t="shared" si="28"/>
        <v>557.54999999999995</v>
      </c>
      <c r="I13" s="14">
        <f t="shared" si="6"/>
        <v>4.990110260189156</v>
      </c>
      <c r="J13" s="31">
        <f t="shared" si="7"/>
        <v>2782.2359755684638</v>
      </c>
      <c r="L13" s="15">
        <f t="shared" si="29"/>
        <v>5</v>
      </c>
      <c r="M13" s="7">
        <f t="shared" si="8"/>
        <v>24.43686348004395</v>
      </c>
      <c r="N13" s="7">
        <f t="shared" si="9"/>
        <v>122.18431740021975</v>
      </c>
      <c r="P13" s="15">
        <f t="shared" si="30"/>
        <v>4</v>
      </c>
      <c r="Q13" s="7">
        <f t="shared" si="10"/>
        <v>33.444746339429521</v>
      </c>
      <c r="R13" s="7">
        <f t="shared" si="11"/>
        <v>133.77898535771808</v>
      </c>
      <c r="T13" s="15">
        <f t="shared" si="31"/>
        <v>2</v>
      </c>
      <c r="U13" s="7">
        <f t="shared" si="12"/>
        <v>15.639959547100206</v>
      </c>
      <c r="V13" s="22">
        <f t="shared" si="13"/>
        <v>31.279919094200412</v>
      </c>
      <c r="W13" s="22"/>
      <c r="X13" s="15">
        <f t="shared" si="32"/>
        <v>0</v>
      </c>
      <c r="Y13" s="7">
        <f t="shared" si="14"/>
        <v>0</v>
      </c>
      <c r="Z13" s="22">
        <f t="shared" si="15"/>
        <v>0</v>
      </c>
      <c r="AB13" s="15">
        <f t="shared" si="16"/>
        <v>3.2530587357896747</v>
      </c>
      <c r="AC13" s="22">
        <f t="shared" si="33"/>
        <v>8.0675856647583934</v>
      </c>
      <c r="AE13" s="7">
        <f t="shared" si="34"/>
        <v>75.84</v>
      </c>
      <c r="AF13" s="7">
        <f t="shared" si="17"/>
        <v>92.169997514040773</v>
      </c>
      <c r="AG13" s="22">
        <f t="shared" si="18"/>
        <v>6990.1726114648527</v>
      </c>
      <c r="AI13" s="15">
        <f t="shared" si="35"/>
        <v>14</v>
      </c>
      <c r="AJ13" s="7">
        <f t="shared" si="19"/>
        <v>117.12476424098692</v>
      </c>
      <c r="AK13" s="22">
        <f t="shared" si="20"/>
        <v>1639.7466993738169</v>
      </c>
      <c r="AL13" s="22"/>
      <c r="AM13" s="15">
        <f t="shared" si="36"/>
        <v>5</v>
      </c>
      <c r="AN13" s="7">
        <f t="shared" si="21"/>
        <v>212.95411680179436</v>
      </c>
      <c r="AO13" s="22">
        <f t="shared" si="22"/>
        <v>1064.7705840089718</v>
      </c>
      <c r="AQ13" s="7">
        <f t="shared" si="37"/>
        <v>0</v>
      </c>
      <c r="AR13" s="7">
        <f t="shared" si="23"/>
        <v>0</v>
      </c>
      <c r="AS13" s="22">
        <f t="shared" si="38"/>
        <v>0</v>
      </c>
      <c r="AU13" s="34">
        <f t="shared" si="24"/>
        <v>0</v>
      </c>
      <c r="AV13" s="22">
        <f t="shared" si="0"/>
        <v>0</v>
      </c>
      <c r="AX13" s="34">
        <f t="shared" si="25"/>
        <v>0</v>
      </c>
      <c r="AY13" s="22">
        <f t="shared" si="1"/>
        <v>0</v>
      </c>
      <c r="BA13" s="34">
        <f t="shared" si="26"/>
        <v>0</v>
      </c>
      <c r="BB13" s="22">
        <f t="shared" si="39"/>
        <v>0</v>
      </c>
      <c r="BD13" s="22">
        <f t="shared" si="40"/>
        <v>39.68</v>
      </c>
      <c r="BE13" s="7"/>
      <c r="BF13" s="22">
        <f t="shared" si="2"/>
        <v>2288.546908563284</v>
      </c>
      <c r="BH13" s="22">
        <f t="shared" si="41"/>
        <v>15100.463586496284</v>
      </c>
      <c r="BJ13" s="22">
        <f t="shared" si="3"/>
        <v>3970.7606515310836</v>
      </c>
      <c r="BL13" s="22">
        <f t="shared" si="42"/>
        <v>1.8871060152162893</v>
      </c>
      <c r="BN13" s="7">
        <f>+'Almonds Margin - Baseline'!BN11</f>
        <v>151.90726998528001</v>
      </c>
      <c r="BO13" s="7">
        <f>+'Almonds Margin - Baseline'!BO11</f>
        <v>171.29883706951935</v>
      </c>
      <c r="BP13" s="7">
        <v>74.625447083007742</v>
      </c>
      <c r="BQ13" s="7">
        <v>91.447362420166954</v>
      </c>
    </row>
    <row r="14" spans="1:69" x14ac:dyDescent="0.2">
      <c r="A14" s="8">
        <f t="shared" si="4"/>
        <v>2028</v>
      </c>
      <c r="B14" s="34">
        <f>+'Almonds Margin - Baseline'!B12</f>
        <v>7936.0900861468717</v>
      </c>
      <c r="D14" s="28">
        <f t="shared" si="5"/>
        <v>2.48</v>
      </c>
      <c r="F14" s="22">
        <f t="shared" si="27"/>
        <v>19681.503413644241</v>
      </c>
      <c r="G14" s="35"/>
      <c r="H14" s="28">
        <f t="shared" si="28"/>
        <v>557.54999999999995</v>
      </c>
      <c r="I14" s="14">
        <f t="shared" si="6"/>
        <v>5.0879555594085506</v>
      </c>
      <c r="J14" s="31">
        <f t="shared" si="7"/>
        <v>2836.789622148237</v>
      </c>
      <c r="L14" s="15">
        <f t="shared" si="29"/>
        <v>5</v>
      </c>
      <c r="M14" s="7">
        <f t="shared" si="8"/>
        <v>24.916017665927161</v>
      </c>
      <c r="N14" s="7">
        <f t="shared" si="9"/>
        <v>124.5800883296358</v>
      </c>
      <c r="P14" s="15">
        <f t="shared" si="30"/>
        <v>4</v>
      </c>
      <c r="Q14" s="7">
        <f t="shared" si="10"/>
        <v>34.100525679418325</v>
      </c>
      <c r="R14" s="7">
        <f t="shared" si="11"/>
        <v>136.4021027176733</v>
      </c>
      <c r="T14" s="15">
        <f t="shared" si="31"/>
        <v>2</v>
      </c>
      <c r="U14" s="7">
        <f t="shared" si="12"/>
        <v>15.946625420572754</v>
      </c>
      <c r="V14" s="22">
        <f t="shared" si="13"/>
        <v>31.893250841145509</v>
      </c>
      <c r="W14" s="22"/>
      <c r="X14" s="15">
        <f t="shared" si="32"/>
        <v>0</v>
      </c>
      <c r="Y14" s="7">
        <f t="shared" si="14"/>
        <v>0</v>
      </c>
      <c r="Z14" s="22">
        <f t="shared" si="15"/>
        <v>0</v>
      </c>
      <c r="AB14" s="15">
        <f t="shared" si="16"/>
        <v>3.3051076755623097</v>
      </c>
      <c r="AC14" s="22">
        <f t="shared" si="33"/>
        <v>8.1966670353945279</v>
      </c>
      <c r="AE14" s="7">
        <f t="shared" si="34"/>
        <v>75.84</v>
      </c>
      <c r="AF14" s="7">
        <f t="shared" si="17"/>
        <v>93.64471747426542</v>
      </c>
      <c r="AG14" s="22">
        <f t="shared" si="18"/>
        <v>7102.0153732482895</v>
      </c>
      <c r="AI14" s="15">
        <f t="shared" si="35"/>
        <v>14</v>
      </c>
      <c r="AJ14" s="7">
        <f t="shared" si="19"/>
        <v>120.87275669669849</v>
      </c>
      <c r="AK14" s="22">
        <f t="shared" si="20"/>
        <v>1692.2185937537788</v>
      </c>
      <c r="AL14" s="22"/>
      <c r="AM14" s="15">
        <f t="shared" si="36"/>
        <v>5</v>
      </c>
      <c r="AN14" s="7">
        <f t="shared" si="21"/>
        <v>219.76864853945176</v>
      </c>
      <c r="AO14" s="22">
        <f t="shared" si="22"/>
        <v>1098.8432426972588</v>
      </c>
      <c r="AQ14" s="7">
        <f t="shared" si="37"/>
        <v>0</v>
      </c>
      <c r="AR14" s="7">
        <f t="shared" si="23"/>
        <v>0</v>
      </c>
      <c r="AS14" s="22">
        <f t="shared" si="38"/>
        <v>0</v>
      </c>
      <c r="AU14" s="34">
        <f t="shared" si="24"/>
        <v>0</v>
      </c>
      <c r="AV14" s="22">
        <f t="shared" si="0"/>
        <v>0</v>
      </c>
      <c r="AX14" s="34">
        <f t="shared" si="25"/>
        <v>0</v>
      </c>
      <c r="AY14" s="22">
        <f t="shared" si="1"/>
        <v>0</v>
      </c>
      <c r="BA14" s="34">
        <f t="shared" si="26"/>
        <v>0</v>
      </c>
      <c r="BB14" s="22">
        <f t="shared" si="39"/>
        <v>0</v>
      </c>
      <c r="BD14" s="22">
        <f t="shared" si="40"/>
        <v>39.68</v>
      </c>
      <c r="BE14" s="7"/>
      <c r="BF14" s="22">
        <f t="shared" si="2"/>
        <v>2361.7804096373088</v>
      </c>
      <c r="BH14" s="22">
        <f t="shared" si="41"/>
        <v>15432.399350408723</v>
      </c>
      <c r="BJ14" s="22">
        <f t="shared" si="3"/>
        <v>4249.104063235518</v>
      </c>
      <c r="BL14" s="22">
        <f t="shared" si="42"/>
        <v>1.865619708036478</v>
      </c>
      <c r="BN14" s="7">
        <f>+'Almonds Margin - Baseline'!BN12</f>
        <v>156.76830262480897</v>
      </c>
      <c r="BO14" s="7">
        <f>+'Almonds Margin - Baseline'!BO12</f>
        <v>176.78039985574398</v>
      </c>
      <c r="BP14" s="7">
        <v>74.625447083007742</v>
      </c>
      <c r="BQ14" s="7">
        <v>93.240447957817267</v>
      </c>
    </row>
    <row r="15" spans="1:69" x14ac:dyDescent="0.2">
      <c r="A15" s="8">
        <f t="shared" si="4"/>
        <v>2029</v>
      </c>
      <c r="B15" s="34">
        <f>+'Almonds Margin - Baseline'!B13</f>
        <v>8190.0449689035722</v>
      </c>
      <c r="D15" s="28">
        <f t="shared" si="5"/>
        <v>2.48</v>
      </c>
      <c r="F15" s="22">
        <f t="shared" si="27"/>
        <v>20311.31152288086</v>
      </c>
      <c r="G15" s="35"/>
      <c r="H15" s="28">
        <f t="shared" si="28"/>
        <v>557.54999999999995</v>
      </c>
      <c r="I15" s="14">
        <f t="shared" si="6"/>
        <v>5.1858008586279443</v>
      </c>
      <c r="J15" s="31">
        <f t="shared" si="7"/>
        <v>2891.3432687280101</v>
      </c>
      <c r="L15" s="15">
        <f t="shared" si="29"/>
        <v>5</v>
      </c>
      <c r="M15" s="7">
        <f t="shared" si="8"/>
        <v>25.395171851810371</v>
      </c>
      <c r="N15" s="7">
        <f t="shared" si="9"/>
        <v>126.97585925905186</v>
      </c>
      <c r="P15" s="15">
        <f t="shared" si="30"/>
        <v>4</v>
      </c>
      <c r="Q15" s="7">
        <f t="shared" si="10"/>
        <v>34.756305019407129</v>
      </c>
      <c r="R15" s="7">
        <f t="shared" si="11"/>
        <v>139.02522007762852</v>
      </c>
      <c r="T15" s="15">
        <f t="shared" si="31"/>
        <v>2</v>
      </c>
      <c r="U15" s="7">
        <f t="shared" si="12"/>
        <v>16.253291294045304</v>
      </c>
      <c r="V15" s="22">
        <f t="shared" si="13"/>
        <v>32.506582588090609</v>
      </c>
      <c r="W15" s="22"/>
      <c r="X15" s="15">
        <f t="shared" si="32"/>
        <v>0</v>
      </c>
      <c r="Y15" s="7">
        <f t="shared" si="14"/>
        <v>0</v>
      </c>
      <c r="Z15" s="22">
        <f t="shared" si="15"/>
        <v>0</v>
      </c>
      <c r="AB15" s="15">
        <f t="shared" si="16"/>
        <v>3.3579893983713065</v>
      </c>
      <c r="AC15" s="22">
        <f t="shared" si="33"/>
        <v>8.3278137079608392</v>
      </c>
      <c r="AE15" s="7">
        <f t="shared" si="34"/>
        <v>75.84</v>
      </c>
      <c r="AF15" s="7">
        <f t="shared" si="17"/>
        <v>95.143032953853663</v>
      </c>
      <c r="AG15" s="22">
        <f t="shared" si="18"/>
        <v>7215.6476192202617</v>
      </c>
      <c r="AI15" s="15">
        <f t="shared" si="35"/>
        <v>14</v>
      </c>
      <c r="AJ15" s="7">
        <f t="shared" si="19"/>
        <v>124.74068491099284</v>
      </c>
      <c r="AK15" s="22">
        <f t="shared" si="20"/>
        <v>1746.3695887538997</v>
      </c>
      <c r="AL15" s="22"/>
      <c r="AM15" s="15">
        <f t="shared" si="36"/>
        <v>5</v>
      </c>
      <c r="AN15" s="7">
        <f t="shared" si="21"/>
        <v>226.80124529271424</v>
      </c>
      <c r="AO15" s="22">
        <f t="shared" si="22"/>
        <v>1134.0062264635712</v>
      </c>
      <c r="AQ15" s="7">
        <f t="shared" si="37"/>
        <v>0</v>
      </c>
      <c r="AR15" s="7">
        <f t="shared" si="23"/>
        <v>0</v>
      </c>
      <c r="AS15" s="22">
        <f t="shared" si="38"/>
        <v>0</v>
      </c>
      <c r="AU15" s="34">
        <f t="shared" si="24"/>
        <v>0</v>
      </c>
      <c r="AV15" s="22">
        <f t="shared" si="0"/>
        <v>0</v>
      </c>
      <c r="AX15" s="34">
        <f t="shared" si="25"/>
        <v>0</v>
      </c>
      <c r="AY15" s="22">
        <f t="shared" si="1"/>
        <v>0</v>
      </c>
      <c r="BA15" s="34">
        <f t="shared" si="26"/>
        <v>0</v>
      </c>
      <c r="BB15" s="22">
        <f t="shared" si="39"/>
        <v>0</v>
      </c>
      <c r="BD15" s="22">
        <f t="shared" si="40"/>
        <v>39.68</v>
      </c>
      <c r="BE15" s="7"/>
      <c r="BF15" s="22">
        <f t="shared" si="2"/>
        <v>2437.357382745703</v>
      </c>
      <c r="BH15" s="22">
        <f t="shared" si="41"/>
        <v>15771.239561544178</v>
      </c>
      <c r="BJ15" s="22">
        <f t="shared" si="3"/>
        <v>4540.0719613366819</v>
      </c>
      <c r="BL15" s="22">
        <f t="shared" si="42"/>
        <v>1.8442839893267982</v>
      </c>
      <c r="BN15" s="7">
        <f>+'Almonds Margin - Baseline'!BN13</f>
        <v>161.78488830880286</v>
      </c>
      <c r="BO15" s="7">
        <f>+'Almonds Margin - Baseline'!BO13</f>
        <v>182.43737265112779</v>
      </c>
      <c r="BP15" s="7">
        <v>74.625447083007757</v>
      </c>
      <c r="BQ15" s="7">
        <v>95.03353349546758</v>
      </c>
    </row>
    <row r="16" spans="1:69" x14ac:dyDescent="0.2">
      <c r="A16" s="8">
        <f t="shared" si="4"/>
        <v>2030</v>
      </c>
      <c r="B16" s="34">
        <f>+'Almonds Margin - Baseline'!B14</f>
        <v>8452.1264079084849</v>
      </c>
      <c r="D16" s="28">
        <f t="shared" si="5"/>
        <v>2.48</v>
      </c>
      <c r="F16" s="22">
        <f t="shared" si="27"/>
        <v>20961.273491613043</v>
      </c>
      <c r="G16" s="35"/>
      <c r="H16" s="28">
        <f t="shared" si="28"/>
        <v>557.54999999999995</v>
      </c>
      <c r="I16" s="14">
        <f t="shared" si="6"/>
        <v>5.3032152176912177</v>
      </c>
      <c r="J16" s="31">
        <f t="shared" si="7"/>
        <v>2956.8076446237383</v>
      </c>
      <c r="L16" s="15">
        <f t="shared" si="29"/>
        <v>5</v>
      </c>
      <c r="M16" s="7">
        <f t="shared" si="8"/>
        <v>25.970156874870224</v>
      </c>
      <c r="N16" s="7">
        <f t="shared" si="9"/>
        <v>129.85078437435112</v>
      </c>
      <c r="P16" s="15">
        <f t="shared" si="30"/>
        <v>4</v>
      </c>
      <c r="Q16" s="7">
        <f t="shared" si="10"/>
        <v>35.543240227393703</v>
      </c>
      <c r="R16" s="7">
        <f t="shared" si="11"/>
        <v>142.17296090957481</v>
      </c>
      <c r="T16" s="15">
        <f t="shared" si="31"/>
        <v>2</v>
      </c>
      <c r="U16" s="7">
        <f t="shared" si="12"/>
        <v>16.621290342212365</v>
      </c>
      <c r="V16" s="22">
        <f t="shared" si="13"/>
        <v>33.24258068442473</v>
      </c>
      <c r="W16" s="22"/>
      <c r="X16" s="15">
        <f t="shared" si="32"/>
        <v>0</v>
      </c>
      <c r="Y16" s="7">
        <f t="shared" si="14"/>
        <v>0</v>
      </c>
      <c r="Z16" s="22">
        <f t="shared" si="15"/>
        <v>0</v>
      </c>
      <c r="AB16" s="15">
        <f t="shared" si="16"/>
        <v>3.4117172287452475</v>
      </c>
      <c r="AC16" s="22">
        <f t="shared" si="33"/>
        <v>8.4610587272882132</v>
      </c>
      <c r="AE16" s="7">
        <f t="shared" si="34"/>
        <v>75.84</v>
      </c>
      <c r="AF16" s="7">
        <f t="shared" si="17"/>
        <v>96.665321481115328</v>
      </c>
      <c r="AG16" s="22">
        <f t="shared" si="18"/>
        <v>7331.0979811277866</v>
      </c>
      <c r="AI16" s="15">
        <f t="shared" si="35"/>
        <v>14</v>
      </c>
      <c r="AJ16" s="7">
        <f t="shared" si="19"/>
        <v>128.7323868281446</v>
      </c>
      <c r="AK16" s="22">
        <f t="shared" si="20"/>
        <v>1802.2534155940243</v>
      </c>
      <c r="AL16" s="22"/>
      <c r="AM16" s="15">
        <f t="shared" si="36"/>
        <v>5</v>
      </c>
      <c r="AN16" s="7">
        <f t="shared" si="21"/>
        <v>234.0588851420811</v>
      </c>
      <c r="AO16" s="22">
        <f t="shared" si="22"/>
        <v>1170.2944257104054</v>
      </c>
      <c r="AQ16" s="7">
        <f t="shared" si="37"/>
        <v>0</v>
      </c>
      <c r="AR16" s="7">
        <f t="shared" si="23"/>
        <v>0</v>
      </c>
      <c r="AS16" s="22">
        <f t="shared" si="38"/>
        <v>0</v>
      </c>
      <c r="AU16" s="34">
        <f t="shared" si="24"/>
        <v>0</v>
      </c>
      <c r="AV16" s="22">
        <f t="shared" si="0"/>
        <v>0</v>
      </c>
      <c r="AX16" s="34">
        <f t="shared" si="25"/>
        <v>0</v>
      </c>
      <c r="AY16" s="22">
        <f t="shared" si="1"/>
        <v>0</v>
      </c>
      <c r="BA16" s="34">
        <f t="shared" si="26"/>
        <v>0</v>
      </c>
      <c r="BB16" s="22">
        <f t="shared" si="39"/>
        <v>0</v>
      </c>
      <c r="BD16" s="22">
        <f t="shared" si="40"/>
        <v>39.68</v>
      </c>
      <c r="BE16" s="7"/>
      <c r="BF16" s="22">
        <f t="shared" si="2"/>
        <v>2515.3528189935651</v>
      </c>
      <c r="BH16" s="22">
        <f t="shared" si="41"/>
        <v>16129.213670745157</v>
      </c>
      <c r="BJ16" s="22">
        <f t="shared" si="3"/>
        <v>4832.0598208678857</v>
      </c>
      <c r="BL16" s="22">
        <f t="shared" si="42"/>
        <v>1.8247254537002273</v>
      </c>
      <c r="BN16" s="7">
        <f>+'Almonds Margin - Baseline'!BN14</f>
        <v>166.96200473468454</v>
      </c>
      <c r="BO16" s="7">
        <f>+'Almonds Margin - Baseline'!BO14</f>
        <v>188.27536857596388</v>
      </c>
      <c r="BP16" s="7">
        <v>74.625447083007757</v>
      </c>
      <c r="BQ16" s="7">
        <v>97.185236140647973</v>
      </c>
    </row>
    <row r="17" spans="1:69" x14ac:dyDescent="0.2">
      <c r="A17" s="8">
        <f t="shared" si="4"/>
        <v>2031</v>
      </c>
      <c r="B17" s="34">
        <f>+'Almonds Margin - Baseline'!B15</f>
        <v>8722.5944529615554</v>
      </c>
      <c r="D17" s="28">
        <f t="shared" si="5"/>
        <v>2.48</v>
      </c>
      <c r="F17" s="22">
        <f t="shared" si="27"/>
        <v>21632.034243344657</v>
      </c>
      <c r="G17" s="35"/>
      <c r="H17" s="28">
        <f t="shared" si="28"/>
        <v>557.54999999999995</v>
      </c>
      <c r="I17" s="14">
        <f t="shared" si="6"/>
        <v>5.4167157647857165</v>
      </c>
      <c r="J17" s="31">
        <f t="shared" si="7"/>
        <v>3020.0898746562762</v>
      </c>
      <c r="L17" s="15">
        <f t="shared" si="29"/>
        <v>5</v>
      </c>
      <c r="M17" s="7">
        <f t="shared" si="8"/>
        <v>26.525975730494757</v>
      </c>
      <c r="N17" s="7">
        <f t="shared" si="9"/>
        <v>132.62987865247379</v>
      </c>
      <c r="P17" s="15">
        <f t="shared" si="30"/>
        <v>4</v>
      </c>
      <c r="Q17" s="7">
        <f t="shared" si="10"/>
        <v>36.303944261780735</v>
      </c>
      <c r="R17" s="7">
        <f t="shared" si="11"/>
        <v>145.21577704712294</v>
      </c>
      <c r="T17" s="15">
        <f t="shared" si="31"/>
        <v>2</v>
      </c>
      <c r="U17" s="7">
        <f t="shared" si="12"/>
        <v>16.97702275544053</v>
      </c>
      <c r="V17" s="22">
        <f t="shared" si="13"/>
        <v>33.954045510881059</v>
      </c>
      <c r="W17" s="22"/>
      <c r="X17" s="15">
        <f t="shared" si="32"/>
        <v>0</v>
      </c>
      <c r="Y17" s="7">
        <f t="shared" si="14"/>
        <v>0</v>
      </c>
      <c r="Z17" s="22">
        <f t="shared" si="15"/>
        <v>0</v>
      </c>
      <c r="AB17" s="15">
        <f t="shared" si="16"/>
        <v>3.4663047044051716</v>
      </c>
      <c r="AC17" s="22">
        <f t="shared" si="33"/>
        <v>8.5964356669248261</v>
      </c>
      <c r="AE17" s="7">
        <f t="shared" si="34"/>
        <v>75.84</v>
      </c>
      <c r="AF17" s="7">
        <f t="shared" si="17"/>
        <v>98.211966624813172</v>
      </c>
      <c r="AG17" s="22">
        <f t="shared" si="18"/>
        <v>7448.3955488258316</v>
      </c>
      <c r="AI17" s="15">
        <f t="shared" si="35"/>
        <v>14</v>
      </c>
      <c r="AJ17" s="7">
        <f t="shared" si="19"/>
        <v>132.85182320664524</v>
      </c>
      <c r="AK17" s="22">
        <f t="shared" si="20"/>
        <v>1859.9255248930333</v>
      </c>
      <c r="AL17" s="22"/>
      <c r="AM17" s="15">
        <f t="shared" si="36"/>
        <v>5</v>
      </c>
      <c r="AN17" s="7">
        <f t="shared" si="21"/>
        <v>241.5487694666277</v>
      </c>
      <c r="AO17" s="22">
        <f t="shared" si="22"/>
        <v>1207.7438473331385</v>
      </c>
      <c r="AQ17" s="7">
        <f t="shared" si="37"/>
        <v>0</v>
      </c>
      <c r="AR17" s="7">
        <f t="shared" si="23"/>
        <v>0</v>
      </c>
      <c r="AS17" s="22">
        <f t="shared" si="38"/>
        <v>0</v>
      </c>
      <c r="AU17" s="34">
        <f t="shared" si="24"/>
        <v>0</v>
      </c>
      <c r="AV17" s="22">
        <f t="shared" si="0"/>
        <v>0</v>
      </c>
      <c r="AX17" s="34">
        <f t="shared" si="25"/>
        <v>0</v>
      </c>
      <c r="AY17" s="22">
        <f t="shared" si="1"/>
        <v>0</v>
      </c>
      <c r="BA17" s="34">
        <f t="shared" si="26"/>
        <v>0</v>
      </c>
      <c r="BB17" s="22">
        <f t="shared" si="39"/>
        <v>0</v>
      </c>
      <c r="BD17" s="22">
        <f t="shared" si="40"/>
        <v>39.68</v>
      </c>
      <c r="BE17" s="7"/>
      <c r="BF17" s="22">
        <f t="shared" si="2"/>
        <v>2595.8441092013586</v>
      </c>
      <c r="BH17" s="22">
        <f t="shared" si="41"/>
        <v>16492.07504178704</v>
      </c>
      <c r="BJ17" s="22">
        <f t="shared" si="3"/>
        <v>5139.9592015576163</v>
      </c>
      <c r="BL17" s="22">
        <f t="shared" si="42"/>
        <v>1.8049176911329421</v>
      </c>
      <c r="BN17" s="7">
        <f>+'Almonds Margin - Baseline'!BN15</f>
        <v>172.30478888619444</v>
      </c>
      <c r="BO17" s="7">
        <f>+'Almonds Margin - Baseline'!BO15</f>
        <v>194.30018037039471</v>
      </c>
      <c r="BP17" s="7">
        <v>74.625447083007771</v>
      </c>
      <c r="BQ17" s="7">
        <v>99.265215364322373</v>
      </c>
    </row>
    <row r="18" spans="1:69" x14ac:dyDescent="0.2">
      <c r="A18" s="8">
        <f t="shared" si="4"/>
        <v>2032</v>
      </c>
      <c r="B18" s="34">
        <f>+'Almonds Margin - Baseline'!B16</f>
        <v>9001.7174754563257</v>
      </c>
      <c r="D18" s="28">
        <f t="shared" si="5"/>
        <v>2.48</v>
      </c>
      <c r="F18" s="22">
        <f t="shared" si="27"/>
        <v>22324.259339131688</v>
      </c>
      <c r="G18" s="35"/>
      <c r="H18" s="28">
        <f t="shared" si="28"/>
        <v>557.54999999999995</v>
      </c>
      <c r="I18" s="14">
        <f t="shared" si="6"/>
        <v>5.5302163118802143</v>
      </c>
      <c r="J18" s="31">
        <f t="shared" si="7"/>
        <v>3083.3721046888131</v>
      </c>
      <c r="L18" s="15">
        <f t="shared" si="29"/>
        <v>5</v>
      </c>
      <c r="M18" s="7">
        <f t="shared" si="8"/>
        <v>27.081794586119283</v>
      </c>
      <c r="N18" s="7">
        <f t="shared" si="9"/>
        <v>135.40897293059641</v>
      </c>
      <c r="P18" s="15">
        <f t="shared" si="30"/>
        <v>4</v>
      </c>
      <c r="Q18" s="7">
        <f t="shared" si="10"/>
        <v>37.064648296167761</v>
      </c>
      <c r="R18" s="7">
        <f t="shared" si="11"/>
        <v>148.25859318467104</v>
      </c>
      <c r="T18" s="15">
        <f t="shared" si="31"/>
        <v>2</v>
      </c>
      <c r="U18" s="7">
        <f t="shared" si="12"/>
        <v>17.33275516866869</v>
      </c>
      <c r="V18" s="22">
        <f t="shared" si="13"/>
        <v>34.665510337337381</v>
      </c>
      <c r="W18" s="22"/>
      <c r="X18" s="15">
        <f t="shared" si="32"/>
        <v>0</v>
      </c>
      <c r="Y18" s="7">
        <f t="shared" si="14"/>
        <v>0</v>
      </c>
      <c r="Z18" s="22">
        <f t="shared" si="15"/>
        <v>0</v>
      </c>
      <c r="AB18" s="15">
        <f t="shared" si="16"/>
        <v>3.5217655796756544</v>
      </c>
      <c r="AC18" s="22">
        <f t="shared" si="33"/>
        <v>8.733978637595623</v>
      </c>
      <c r="AE18" s="7">
        <f t="shared" si="34"/>
        <v>75.84</v>
      </c>
      <c r="AF18" s="7">
        <f t="shared" si="17"/>
        <v>99.783358090810182</v>
      </c>
      <c r="AG18" s="22">
        <f t="shared" si="18"/>
        <v>7567.5698776070449</v>
      </c>
      <c r="AI18" s="15">
        <f t="shared" si="35"/>
        <v>14</v>
      </c>
      <c r="AJ18" s="7">
        <f t="shared" si="19"/>
        <v>137.10308154925789</v>
      </c>
      <c r="AK18" s="22">
        <f t="shared" si="20"/>
        <v>1919.4431416896105</v>
      </c>
      <c r="AL18" s="22"/>
      <c r="AM18" s="15">
        <f t="shared" si="36"/>
        <v>5</v>
      </c>
      <c r="AN18" s="7">
        <f t="shared" si="21"/>
        <v>249.27833008955977</v>
      </c>
      <c r="AO18" s="22">
        <f t="shared" si="22"/>
        <v>1246.3916504477988</v>
      </c>
      <c r="AQ18" s="7">
        <f t="shared" si="37"/>
        <v>0</v>
      </c>
      <c r="AR18" s="7">
        <f t="shared" si="23"/>
        <v>0</v>
      </c>
      <c r="AS18" s="22">
        <f t="shared" si="38"/>
        <v>0</v>
      </c>
      <c r="AU18" s="34">
        <f t="shared" si="24"/>
        <v>0</v>
      </c>
      <c r="AV18" s="22">
        <f t="shared" si="0"/>
        <v>0</v>
      </c>
      <c r="AX18" s="34">
        <f t="shared" si="25"/>
        <v>0</v>
      </c>
      <c r="AY18" s="22">
        <f t="shared" si="1"/>
        <v>0</v>
      </c>
      <c r="BA18" s="34">
        <f t="shared" si="26"/>
        <v>0</v>
      </c>
      <c r="BB18" s="22">
        <f t="shared" si="39"/>
        <v>0</v>
      </c>
      <c r="BD18" s="22">
        <f t="shared" si="40"/>
        <v>39.68</v>
      </c>
      <c r="BE18" s="7"/>
      <c r="BF18" s="22">
        <f t="shared" si="2"/>
        <v>2678.9111206958023</v>
      </c>
      <c r="BH18" s="22">
        <f t="shared" si="41"/>
        <v>16862.434950219271</v>
      </c>
      <c r="BJ18" s="22">
        <f t="shared" si="3"/>
        <v>5461.8243889124169</v>
      </c>
      <c r="BL18" s="22">
        <f t="shared" si="42"/>
        <v>1.785205021278085</v>
      </c>
      <c r="BN18" s="7">
        <f>+'Almonds Margin - Baseline'!BN16</f>
        <v>177.81854213055266</v>
      </c>
      <c r="BO18" s="7">
        <f>+'Almonds Margin - Baseline'!BO16</f>
        <v>200.51778614224733</v>
      </c>
      <c r="BP18" s="7">
        <v>74.625447083007757</v>
      </c>
      <c r="BQ18" s="7">
        <v>101.34519458799676</v>
      </c>
    </row>
    <row r="19" spans="1:69" x14ac:dyDescent="0.2">
      <c r="A19" s="8">
        <f t="shared" si="4"/>
        <v>2033</v>
      </c>
      <c r="B19" s="34">
        <f>+'Almonds Margin - Baseline'!B17</f>
        <v>9289.7724346709274</v>
      </c>
      <c r="D19" s="28">
        <f t="shared" si="5"/>
        <v>2.48</v>
      </c>
      <c r="F19" s="22">
        <f t="shared" si="27"/>
        <v>23038.635637983898</v>
      </c>
      <c r="G19" s="35"/>
      <c r="H19" s="28">
        <f t="shared" si="28"/>
        <v>557.54999999999995</v>
      </c>
      <c r="I19" s="14">
        <f t="shared" si="6"/>
        <v>5.6437168589747122</v>
      </c>
      <c r="J19" s="31">
        <f t="shared" si="7"/>
        <v>3146.6543347213506</v>
      </c>
      <c r="L19" s="15">
        <f t="shared" si="29"/>
        <v>5</v>
      </c>
      <c r="M19" s="7">
        <f t="shared" si="8"/>
        <v>27.63761344174381</v>
      </c>
      <c r="N19" s="7">
        <f t="shared" si="9"/>
        <v>138.18806720871905</v>
      </c>
      <c r="P19" s="15">
        <f t="shared" si="30"/>
        <v>4</v>
      </c>
      <c r="Q19" s="7">
        <f t="shared" si="10"/>
        <v>37.825352330554779</v>
      </c>
      <c r="R19" s="7">
        <f t="shared" si="11"/>
        <v>151.30140932221911</v>
      </c>
      <c r="T19" s="15">
        <f t="shared" si="31"/>
        <v>2</v>
      </c>
      <c r="U19" s="7">
        <f t="shared" si="12"/>
        <v>17.688487581896851</v>
      </c>
      <c r="V19" s="22">
        <f t="shared" si="13"/>
        <v>35.376975163793702</v>
      </c>
      <c r="W19" s="22"/>
      <c r="X19" s="15">
        <f t="shared" si="32"/>
        <v>0</v>
      </c>
      <c r="Y19" s="7">
        <f t="shared" si="14"/>
        <v>0</v>
      </c>
      <c r="Z19" s="22">
        <f t="shared" si="15"/>
        <v>0</v>
      </c>
      <c r="AB19" s="15">
        <f t="shared" si="16"/>
        <v>3.5781138289504648</v>
      </c>
      <c r="AC19" s="22">
        <f t="shared" si="33"/>
        <v>8.8737222957971529</v>
      </c>
      <c r="AE19" s="7">
        <f t="shared" si="34"/>
        <v>75.84</v>
      </c>
      <c r="AF19" s="7">
        <f t="shared" si="17"/>
        <v>101.37989182026314</v>
      </c>
      <c r="AG19" s="22">
        <f t="shared" si="18"/>
        <v>7688.6509956487571</v>
      </c>
      <c r="AI19" s="15">
        <f t="shared" si="35"/>
        <v>14</v>
      </c>
      <c r="AJ19" s="7">
        <f t="shared" si="19"/>
        <v>141.49038015883414</v>
      </c>
      <c r="AK19" s="22">
        <f t="shared" si="20"/>
        <v>1980.865322223678</v>
      </c>
      <c r="AL19" s="22"/>
      <c r="AM19" s="15">
        <f t="shared" si="36"/>
        <v>5</v>
      </c>
      <c r="AN19" s="7">
        <f t="shared" si="21"/>
        <v>257.25523665242565</v>
      </c>
      <c r="AO19" s="22">
        <f t="shared" si="22"/>
        <v>1286.2761832621281</v>
      </c>
      <c r="AQ19" s="7">
        <f t="shared" si="37"/>
        <v>0</v>
      </c>
      <c r="AR19" s="7">
        <f t="shared" si="23"/>
        <v>0</v>
      </c>
      <c r="AS19" s="22">
        <f t="shared" si="38"/>
        <v>0</v>
      </c>
      <c r="AU19" s="34">
        <f t="shared" si="24"/>
        <v>0</v>
      </c>
      <c r="AV19" s="22">
        <f t="shared" si="0"/>
        <v>0</v>
      </c>
      <c r="AX19" s="34">
        <f t="shared" si="25"/>
        <v>0</v>
      </c>
      <c r="AY19" s="22">
        <f t="shared" si="1"/>
        <v>0</v>
      </c>
      <c r="BA19" s="34">
        <f t="shared" si="26"/>
        <v>0</v>
      </c>
      <c r="BB19" s="22">
        <f t="shared" si="39"/>
        <v>0</v>
      </c>
      <c r="BD19" s="22">
        <f t="shared" si="40"/>
        <v>39.68</v>
      </c>
      <c r="BE19" s="7"/>
      <c r="BF19" s="22">
        <f t="shared" si="2"/>
        <v>2764.6362765580675</v>
      </c>
      <c r="BH19" s="22">
        <f t="shared" si="41"/>
        <v>17240.50328640451</v>
      </c>
      <c r="BJ19" s="22">
        <f t="shared" si="3"/>
        <v>5798.1323515793883</v>
      </c>
      <c r="BL19" s="22">
        <f t="shared" si="42"/>
        <v>1.7655969224125345</v>
      </c>
      <c r="BN19" s="7">
        <f>+'Almonds Margin - Baseline'!BN17</f>
        <v>183.50873547873033</v>
      </c>
      <c r="BO19" s="7">
        <f>+'Almonds Margin - Baseline'!BO17</f>
        <v>206.93435529879923</v>
      </c>
      <c r="BP19" s="7">
        <v>74.625447083007742</v>
      </c>
      <c r="BQ19" s="7">
        <v>103.42517381167113</v>
      </c>
    </row>
    <row r="20" spans="1:69" x14ac:dyDescent="0.2">
      <c r="A20" s="8">
        <f t="shared" si="4"/>
        <v>2034</v>
      </c>
      <c r="B20" s="34">
        <f>+'Almonds Margin - Baseline'!B18</f>
        <v>9587.0451525803965</v>
      </c>
      <c r="D20" s="28">
        <f t="shared" si="5"/>
        <v>2.48</v>
      </c>
      <c r="F20" s="22">
        <f t="shared" si="27"/>
        <v>23775.871978399384</v>
      </c>
      <c r="G20" s="35"/>
      <c r="H20" s="28">
        <f t="shared" si="28"/>
        <v>557.54999999999995</v>
      </c>
      <c r="I20" s="14">
        <f t="shared" si="6"/>
        <v>5.757217406069211</v>
      </c>
      <c r="J20" s="31">
        <f t="shared" si="7"/>
        <v>3209.9365647538884</v>
      </c>
      <c r="L20" s="15">
        <f t="shared" si="29"/>
        <v>5</v>
      </c>
      <c r="M20" s="7">
        <f t="shared" si="8"/>
        <v>28.193432297368343</v>
      </c>
      <c r="N20" s="7">
        <f t="shared" si="9"/>
        <v>140.96716148684172</v>
      </c>
      <c r="P20" s="15">
        <f t="shared" si="30"/>
        <v>4</v>
      </c>
      <c r="Q20" s="7">
        <f t="shared" si="10"/>
        <v>38.586056364941804</v>
      </c>
      <c r="R20" s="7">
        <f t="shared" si="11"/>
        <v>154.34422545976722</v>
      </c>
      <c r="T20" s="15">
        <f t="shared" si="31"/>
        <v>2</v>
      </c>
      <c r="U20" s="7">
        <f t="shared" si="12"/>
        <v>18.044219995125015</v>
      </c>
      <c r="V20" s="22">
        <f t="shared" si="13"/>
        <v>36.088439990250031</v>
      </c>
      <c r="W20" s="22"/>
      <c r="X20" s="15">
        <f t="shared" si="32"/>
        <v>0</v>
      </c>
      <c r="Y20" s="7">
        <f t="shared" si="14"/>
        <v>0</v>
      </c>
      <c r="Z20" s="22">
        <f t="shared" si="15"/>
        <v>0</v>
      </c>
      <c r="AB20" s="15">
        <f t="shared" si="16"/>
        <v>3.6353636502136721</v>
      </c>
      <c r="AC20" s="22">
        <f t="shared" si="33"/>
        <v>9.0157018525299062</v>
      </c>
      <c r="AE20" s="7">
        <f t="shared" si="34"/>
        <v>75.84</v>
      </c>
      <c r="AF20" s="7">
        <f t="shared" si="17"/>
        <v>103.00197008938736</v>
      </c>
      <c r="AG20" s="22">
        <f t="shared" si="18"/>
        <v>7811.6694115791379</v>
      </c>
      <c r="AI20" s="15">
        <f t="shared" si="35"/>
        <v>14</v>
      </c>
      <c r="AJ20" s="7">
        <f t="shared" si="19"/>
        <v>146.01807232391684</v>
      </c>
      <c r="AK20" s="22">
        <f t="shared" si="20"/>
        <v>2044.2530125348358</v>
      </c>
      <c r="AL20" s="22"/>
      <c r="AM20" s="15">
        <f t="shared" si="36"/>
        <v>5</v>
      </c>
      <c r="AN20" s="7">
        <f t="shared" si="21"/>
        <v>265.48740422530329</v>
      </c>
      <c r="AO20" s="22">
        <f t="shared" si="22"/>
        <v>1327.4370211265164</v>
      </c>
      <c r="AQ20" s="7">
        <f t="shared" si="37"/>
        <v>0</v>
      </c>
      <c r="AR20" s="7">
        <f t="shared" si="23"/>
        <v>0</v>
      </c>
      <c r="AS20" s="22">
        <f t="shared" si="38"/>
        <v>0</v>
      </c>
      <c r="AU20" s="34">
        <f t="shared" si="24"/>
        <v>0</v>
      </c>
      <c r="AV20" s="22">
        <f t="shared" si="0"/>
        <v>0</v>
      </c>
      <c r="AX20" s="34">
        <f t="shared" si="25"/>
        <v>0</v>
      </c>
      <c r="AY20" s="22">
        <f t="shared" si="1"/>
        <v>0</v>
      </c>
      <c r="BA20" s="34">
        <f t="shared" si="26"/>
        <v>0</v>
      </c>
      <c r="BB20" s="22">
        <f t="shared" si="39"/>
        <v>0</v>
      </c>
      <c r="BD20" s="22">
        <f t="shared" si="40"/>
        <v>39.68</v>
      </c>
      <c r="BE20" s="7"/>
      <c r="BF20" s="22">
        <f t="shared" si="2"/>
        <v>2853.104637407926</v>
      </c>
      <c r="BH20" s="22">
        <f t="shared" si="41"/>
        <v>17626.496176191693</v>
      </c>
      <c r="BJ20" s="22">
        <f t="shared" si="3"/>
        <v>6149.3758022076909</v>
      </c>
      <c r="BL20" s="22">
        <f t="shared" si="42"/>
        <v>1.7461022502820369</v>
      </c>
      <c r="BN20" s="7">
        <f>+'Almonds Margin - Baseline'!BN18</f>
        <v>189.38101501404969</v>
      </c>
      <c r="BO20" s="7">
        <f>+'Almonds Margin - Baseline'!BO18</f>
        <v>213.55625466836082</v>
      </c>
      <c r="BP20" s="7">
        <v>74.625447083007742</v>
      </c>
      <c r="BQ20" s="7">
        <v>105.50515303534553</v>
      </c>
    </row>
    <row r="21" spans="1:69" x14ac:dyDescent="0.2">
      <c r="A21" s="8">
        <f t="shared" si="4"/>
        <v>2035</v>
      </c>
      <c r="B21" s="34">
        <f>+'Almonds Margin - Baseline'!B19</f>
        <v>9893.8305974629693</v>
      </c>
      <c r="D21" s="28">
        <f>+D7*'Almonds Margin - Baseline'!D19/'Almonds Margin - Baseline'!D5</f>
        <v>2.48</v>
      </c>
      <c r="F21" s="22">
        <f t="shared" si="27"/>
        <v>24536.699881708162</v>
      </c>
      <c r="G21" s="35"/>
      <c r="H21" s="28">
        <f t="shared" si="28"/>
        <v>557.54999999999995</v>
      </c>
      <c r="I21" s="14">
        <f t="shared" si="6"/>
        <v>5.8707179531637097</v>
      </c>
      <c r="J21" s="31">
        <f t="shared" si="7"/>
        <v>3273.2187947864259</v>
      </c>
      <c r="L21" s="15">
        <f t="shared" si="29"/>
        <v>5</v>
      </c>
      <c r="M21" s="7">
        <f t="shared" si="8"/>
        <v>28.749251152992873</v>
      </c>
      <c r="N21" s="7">
        <f t="shared" si="9"/>
        <v>143.74625576496436</v>
      </c>
      <c r="P21" s="15">
        <f t="shared" si="30"/>
        <v>4</v>
      </c>
      <c r="Q21" s="7">
        <f t="shared" si="10"/>
        <v>39.346760399328829</v>
      </c>
      <c r="R21" s="7">
        <f t="shared" si="11"/>
        <v>157.38704159731532</v>
      </c>
      <c r="T21" s="15">
        <f t="shared" si="31"/>
        <v>2</v>
      </c>
      <c r="U21" s="7">
        <f t="shared" si="12"/>
        <v>18.399952408353176</v>
      </c>
      <c r="V21" s="22">
        <f t="shared" si="13"/>
        <v>36.799904816706352</v>
      </c>
      <c r="W21" s="22"/>
      <c r="X21" s="15">
        <f t="shared" si="32"/>
        <v>0</v>
      </c>
      <c r="Y21" s="7">
        <f t="shared" si="14"/>
        <v>0</v>
      </c>
      <c r="Z21" s="22">
        <f t="shared" si="15"/>
        <v>0</v>
      </c>
      <c r="AB21" s="15">
        <f t="shared" si="16"/>
        <v>3.6935294686170907</v>
      </c>
      <c r="AC21" s="22">
        <f t="shared" si="33"/>
        <v>9.1599530821703858</v>
      </c>
      <c r="AE21" s="7">
        <f t="shared" si="34"/>
        <v>75.84</v>
      </c>
      <c r="AF21" s="7">
        <f t="shared" si="17"/>
        <v>104.65000161081755</v>
      </c>
      <c r="AG21" s="22">
        <f t="shared" si="18"/>
        <v>7936.6561221644033</v>
      </c>
      <c r="AI21" s="15">
        <f t="shared" si="35"/>
        <v>14</v>
      </c>
      <c r="AJ21" s="7">
        <f t="shared" si="19"/>
        <v>150.69065063828216</v>
      </c>
      <c r="AK21" s="22">
        <f t="shared" si="20"/>
        <v>2109.6691089359501</v>
      </c>
      <c r="AL21" s="22"/>
      <c r="AM21" s="15">
        <f t="shared" si="36"/>
        <v>5</v>
      </c>
      <c r="AN21" s="7">
        <f t="shared" si="21"/>
        <v>273.98300116051297</v>
      </c>
      <c r="AO21" s="22">
        <f t="shared" si="22"/>
        <v>1369.9150058025648</v>
      </c>
      <c r="AQ21" s="7">
        <f t="shared" si="37"/>
        <v>0</v>
      </c>
      <c r="AR21" s="7">
        <f t="shared" si="23"/>
        <v>0</v>
      </c>
      <c r="AS21" s="22">
        <f t="shared" si="38"/>
        <v>0</v>
      </c>
      <c r="AU21" s="34">
        <f t="shared" si="24"/>
        <v>0</v>
      </c>
      <c r="AV21" s="22">
        <f t="shared" si="0"/>
        <v>0</v>
      </c>
      <c r="AX21" s="34">
        <f t="shared" si="25"/>
        <v>0</v>
      </c>
      <c r="AY21" s="22">
        <f t="shared" si="1"/>
        <v>0</v>
      </c>
      <c r="BA21" s="34">
        <f t="shared" si="26"/>
        <v>0</v>
      </c>
      <c r="BB21" s="22">
        <f t="shared" si="39"/>
        <v>0</v>
      </c>
      <c r="BD21" s="22">
        <f t="shared" si="40"/>
        <v>39.68</v>
      </c>
      <c r="BE21" s="7"/>
      <c r="BF21" s="22">
        <f t="shared" si="2"/>
        <v>2944.4039858049791</v>
      </c>
      <c r="BH21" s="22">
        <f t="shared" si="41"/>
        <v>18020.636172755479</v>
      </c>
      <c r="BJ21" s="22">
        <f t="shared" si="3"/>
        <v>6516.0637089526826</v>
      </c>
      <c r="BL21" s="22">
        <f t="shared" si="42"/>
        <v>1.7267292667259655</v>
      </c>
      <c r="BN21" s="7">
        <f>+'Almonds Margin - Baseline'!BN19</f>
        <v>195.44120749449928</v>
      </c>
      <c r="BO21" s="7">
        <f>+'Almonds Margin - Baseline'!BO19</f>
        <v>220.39005481774836</v>
      </c>
      <c r="BP21" s="7">
        <v>74.625447083007742</v>
      </c>
      <c r="BQ21" s="7">
        <v>107.58513225901991</v>
      </c>
    </row>
    <row r="22" spans="1:69" x14ac:dyDescent="0.2">
      <c r="A22" s="8">
        <f t="shared" si="4"/>
        <v>2036</v>
      </c>
      <c r="B22" s="34">
        <f>+'Almonds Margin - Baseline'!B20</f>
        <v>10210.433176581786</v>
      </c>
      <c r="D22" s="28">
        <f t="shared" ref="D22:D40" si="43">D21*((D$41/D$21)^(1/($A$41-$A$21)))</f>
        <v>2.48</v>
      </c>
      <c r="F22" s="22">
        <f t="shared" si="27"/>
        <v>25321.874277922831</v>
      </c>
      <c r="G22" s="35"/>
      <c r="H22" s="28">
        <f t="shared" si="28"/>
        <v>557.54999999999995</v>
      </c>
      <c r="I22" s="14">
        <f t="shared" si="6"/>
        <v>5.8707179531637097</v>
      </c>
      <c r="J22" s="31">
        <f t="shared" si="7"/>
        <v>3273.2187947864259</v>
      </c>
      <c r="L22" s="15">
        <f t="shared" si="29"/>
        <v>5</v>
      </c>
      <c r="M22" s="7">
        <f t="shared" si="8"/>
        <v>28.749251152992869</v>
      </c>
      <c r="N22" s="7">
        <f t="shared" si="9"/>
        <v>143.74625576496436</v>
      </c>
      <c r="P22" s="15">
        <f t="shared" si="30"/>
        <v>4</v>
      </c>
      <c r="Q22" s="7">
        <f t="shared" si="10"/>
        <v>39.346760399328836</v>
      </c>
      <c r="R22" s="7">
        <f t="shared" si="11"/>
        <v>157.38704159731535</v>
      </c>
      <c r="T22" s="15">
        <f t="shared" si="31"/>
        <v>2</v>
      </c>
      <c r="U22" s="7">
        <f t="shared" si="12"/>
        <v>18.399952408353176</v>
      </c>
      <c r="V22" s="22">
        <f t="shared" si="13"/>
        <v>36.799904816706352</v>
      </c>
      <c r="W22" s="22"/>
      <c r="X22" s="15">
        <f t="shared" si="32"/>
        <v>0</v>
      </c>
      <c r="Y22" s="7">
        <f t="shared" si="14"/>
        <v>0</v>
      </c>
      <c r="Z22" s="22">
        <f t="shared" si="15"/>
        <v>0</v>
      </c>
      <c r="AB22" s="15">
        <f t="shared" si="16"/>
        <v>3.7526259401149642</v>
      </c>
      <c r="AC22" s="22">
        <f t="shared" si="33"/>
        <v>9.306512331485111</v>
      </c>
      <c r="AE22" s="7">
        <f t="shared" si="34"/>
        <v>75.84</v>
      </c>
      <c r="AF22" s="7">
        <f t="shared" si="17"/>
        <v>106.32440163659064</v>
      </c>
      <c r="AG22" s="22">
        <f t="shared" si="18"/>
        <v>8063.6426201190343</v>
      </c>
      <c r="AI22" s="15">
        <f t="shared" si="35"/>
        <v>14</v>
      </c>
      <c r="AJ22" s="7">
        <f t="shared" si="19"/>
        <v>155.51275145870719</v>
      </c>
      <c r="AK22" s="22">
        <f t="shared" si="20"/>
        <v>2177.1785204219004</v>
      </c>
      <c r="AL22" s="22"/>
      <c r="AM22" s="15">
        <f t="shared" si="36"/>
        <v>5</v>
      </c>
      <c r="AN22" s="7">
        <f t="shared" si="21"/>
        <v>282.75045719764938</v>
      </c>
      <c r="AO22" s="22">
        <f t="shared" si="22"/>
        <v>1413.752285988247</v>
      </c>
      <c r="AQ22" s="7">
        <f t="shared" si="37"/>
        <v>0</v>
      </c>
      <c r="AR22" s="7">
        <f t="shared" si="23"/>
        <v>0</v>
      </c>
      <c r="AS22" s="22">
        <f t="shared" si="38"/>
        <v>0</v>
      </c>
      <c r="AU22" s="34">
        <f t="shared" si="24"/>
        <v>0</v>
      </c>
      <c r="AV22" s="22">
        <f t="shared" si="0"/>
        <v>0</v>
      </c>
      <c r="AX22" s="34">
        <f t="shared" si="25"/>
        <v>0</v>
      </c>
      <c r="AY22" s="22">
        <f t="shared" si="1"/>
        <v>0</v>
      </c>
      <c r="BA22" s="34">
        <f t="shared" si="26"/>
        <v>0</v>
      </c>
      <c r="BB22" s="22">
        <f t="shared" si="39"/>
        <v>0</v>
      </c>
      <c r="BD22" s="22">
        <f t="shared" si="40"/>
        <v>39.68</v>
      </c>
      <c r="BE22" s="7"/>
      <c r="BF22" s="22">
        <f t="shared" si="2"/>
        <v>3038.6249133507395</v>
      </c>
      <c r="BH22" s="22">
        <f t="shared" si="41"/>
        <v>18353.336849176816</v>
      </c>
      <c r="BJ22" s="22">
        <f t="shared" si="3"/>
        <v>6968.5374287460145</v>
      </c>
      <c r="BL22" s="22">
        <f t="shared" si="42"/>
        <v>1.6997122768728603</v>
      </c>
      <c r="BN22" s="7">
        <f>+'Almonds Margin - Baseline'!BN20</f>
        <v>201.69532613432327</v>
      </c>
      <c r="BO22" s="7">
        <f>+'Almonds Margin - Baseline'!BO20</f>
        <v>227.44253657191632</v>
      </c>
      <c r="BP22" s="7">
        <v>74.625447083007742</v>
      </c>
      <c r="BQ22" s="7">
        <v>107.58513225901991</v>
      </c>
    </row>
    <row r="23" spans="1:69" x14ac:dyDescent="0.2">
      <c r="A23" s="8">
        <f t="shared" si="4"/>
        <v>2037</v>
      </c>
      <c r="B23" s="34">
        <f>+'Almonds Margin - Baseline'!B21</f>
        <v>10537.167038232403</v>
      </c>
      <c r="D23" s="28">
        <f t="shared" si="43"/>
        <v>2.48</v>
      </c>
      <c r="F23" s="22">
        <f t="shared" si="27"/>
        <v>26132.17425481636</v>
      </c>
      <c r="G23" s="35"/>
      <c r="H23" s="28">
        <f t="shared" si="28"/>
        <v>557.54999999999995</v>
      </c>
      <c r="I23" s="14">
        <f t="shared" si="6"/>
        <v>5.8707179531637106</v>
      </c>
      <c r="J23" s="31">
        <f t="shared" si="7"/>
        <v>3273.2187947864268</v>
      </c>
      <c r="L23" s="15">
        <f t="shared" si="29"/>
        <v>5</v>
      </c>
      <c r="M23" s="7">
        <f t="shared" si="8"/>
        <v>28.749251152992876</v>
      </c>
      <c r="N23" s="7">
        <f t="shared" si="9"/>
        <v>143.74625576496439</v>
      </c>
      <c r="P23" s="15">
        <f t="shared" si="30"/>
        <v>4</v>
      </c>
      <c r="Q23" s="7">
        <f t="shared" si="10"/>
        <v>39.346760399328844</v>
      </c>
      <c r="R23" s="7">
        <f t="shared" si="11"/>
        <v>157.38704159731537</v>
      </c>
      <c r="T23" s="15">
        <f t="shared" si="31"/>
        <v>2</v>
      </c>
      <c r="U23" s="7">
        <f t="shared" si="12"/>
        <v>18.39995240835318</v>
      </c>
      <c r="V23" s="22">
        <f t="shared" si="13"/>
        <v>36.799904816706359</v>
      </c>
      <c r="W23" s="22"/>
      <c r="X23" s="15">
        <f t="shared" si="32"/>
        <v>0</v>
      </c>
      <c r="Y23" s="7">
        <f t="shared" si="14"/>
        <v>0</v>
      </c>
      <c r="Z23" s="22">
        <f t="shared" si="15"/>
        <v>0</v>
      </c>
      <c r="AB23" s="15">
        <f t="shared" si="16"/>
        <v>3.8126679551568037</v>
      </c>
      <c r="AC23" s="22">
        <f t="shared" si="33"/>
        <v>9.4554165287888736</v>
      </c>
      <c r="AE23" s="7">
        <f t="shared" si="34"/>
        <v>75.84</v>
      </c>
      <c r="AF23" s="7">
        <f t="shared" si="17"/>
        <v>108.02559206277608</v>
      </c>
      <c r="AG23" s="22">
        <f t="shared" si="18"/>
        <v>8192.6609020409378</v>
      </c>
      <c r="AI23" s="15">
        <f t="shared" si="35"/>
        <v>14</v>
      </c>
      <c r="AJ23" s="7">
        <f t="shared" si="19"/>
        <v>160.4891595053858</v>
      </c>
      <c r="AK23" s="22">
        <f t="shared" si="20"/>
        <v>2246.8482330754014</v>
      </c>
      <c r="AL23" s="22"/>
      <c r="AM23" s="15">
        <f t="shared" si="36"/>
        <v>5</v>
      </c>
      <c r="AN23" s="7">
        <f t="shared" si="21"/>
        <v>291.79847182797414</v>
      </c>
      <c r="AO23" s="22">
        <f t="shared" si="22"/>
        <v>1458.9923591398706</v>
      </c>
      <c r="AQ23" s="7">
        <f t="shared" si="37"/>
        <v>0</v>
      </c>
      <c r="AR23" s="7">
        <f t="shared" si="23"/>
        <v>0</v>
      </c>
      <c r="AS23" s="22">
        <f t="shared" si="38"/>
        <v>0</v>
      </c>
      <c r="AU23" s="34">
        <f t="shared" si="24"/>
        <v>0</v>
      </c>
      <c r="AV23" s="22">
        <f t="shared" si="0"/>
        <v>0</v>
      </c>
      <c r="AX23" s="34">
        <f t="shared" si="25"/>
        <v>0</v>
      </c>
      <c r="AY23" s="22">
        <f t="shared" si="1"/>
        <v>0</v>
      </c>
      <c r="BA23" s="34">
        <f t="shared" si="26"/>
        <v>0</v>
      </c>
      <c r="BB23" s="22">
        <f t="shared" si="39"/>
        <v>0</v>
      </c>
      <c r="BD23" s="22">
        <f t="shared" si="40"/>
        <v>39.68</v>
      </c>
      <c r="BE23" s="7"/>
      <c r="BF23" s="22">
        <f t="shared" si="2"/>
        <v>3135.8609105779633</v>
      </c>
      <c r="BH23" s="22">
        <f t="shared" si="41"/>
        <v>18694.649818328377</v>
      </c>
      <c r="BJ23" s="22">
        <f t="shared" si="3"/>
        <v>7437.5244364879836</v>
      </c>
      <c r="BL23" s="22">
        <f t="shared" si="42"/>
        <v>1.6733139982203848</v>
      </c>
      <c r="BN23" s="7">
        <f>+'Almonds Margin - Baseline'!BN21</f>
        <v>208.1495765706216</v>
      </c>
      <c r="BO23" s="7">
        <f>+'Almonds Margin - Baseline'!BO21</f>
        <v>234.72069774221765</v>
      </c>
      <c r="BP23" s="7">
        <v>74.625447083007742</v>
      </c>
      <c r="BQ23" s="7">
        <v>107.58513225901993</v>
      </c>
    </row>
    <row r="24" spans="1:69" x14ac:dyDescent="0.2">
      <c r="A24" s="8">
        <f t="shared" si="4"/>
        <v>2038</v>
      </c>
      <c r="B24" s="34">
        <f>+'Almonds Margin - Baseline'!B22</f>
        <v>10874.356383455839</v>
      </c>
      <c r="D24" s="28">
        <f t="shared" si="43"/>
        <v>2.48</v>
      </c>
      <c r="F24" s="22">
        <f t="shared" si="27"/>
        <v>26968.403830970481</v>
      </c>
      <c r="G24" s="35"/>
      <c r="H24" s="28">
        <f t="shared" si="28"/>
        <v>557.54999999999995</v>
      </c>
      <c r="I24" s="14">
        <f t="shared" si="6"/>
        <v>5.8707179531637106</v>
      </c>
      <c r="J24" s="31">
        <f t="shared" si="7"/>
        <v>3273.2187947864268</v>
      </c>
      <c r="L24" s="15">
        <f t="shared" si="29"/>
        <v>5</v>
      </c>
      <c r="M24" s="7">
        <f t="shared" si="8"/>
        <v>28.749251152992876</v>
      </c>
      <c r="N24" s="7">
        <f t="shared" si="9"/>
        <v>143.74625576496439</v>
      </c>
      <c r="P24" s="15">
        <f t="shared" si="30"/>
        <v>4</v>
      </c>
      <c r="Q24" s="7">
        <f t="shared" si="10"/>
        <v>39.346760399328844</v>
      </c>
      <c r="R24" s="7">
        <f t="shared" si="11"/>
        <v>157.38704159731537</v>
      </c>
      <c r="T24" s="15">
        <f t="shared" si="31"/>
        <v>2</v>
      </c>
      <c r="U24" s="7">
        <f t="shared" si="12"/>
        <v>18.39995240835318</v>
      </c>
      <c r="V24" s="22">
        <f t="shared" si="13"/>
        <v>36.799904816706359</v>
      </c>
      <c r="W24" s="22"/>
      <c r="X24" s="15">
        <f t="shared" si="32"/>
        <v>0</v>
      </c>
      <c r="Y24" s="7">
        <f t="shared" si="14"/>
        <v>0</v>
      </c>
      <c r="Z24" s="22">
        <f t="shared" si="15"/>
        <v>0</v>
      </c>
      <c r="AB24" s="15">
        <f t="shared" si="16"/>
        <v>3.8736706424393126</v>
      </c>
      <c r="AC24" s="22">
        <f t="shared" si="33"/>
        <v>9.606703193249496</v>
      </c>
      <c r="AE24" s="7">
        <f t="shared" si="34"/>
        <v>75.84</v>
      </c>
      <c r="AF24" s="7">
        <f t="shared" si="17"/>
        <v>109.7540015357805</v>
      </c>
      <c r="AG24" s="22">
        <f t="shared" si="18"/>
        <v>8323.7434764735935</v>
      </c>
      <c r="AI24" s="15">
        <f t="shared" si="35"/>
        <v>14</v>
      </c>
      <c r="AJ24" s="7">
        <f t="shared" si="19"/>
        <v>165.62481260955815</v>
      </c>
      <c r="AK24" s="22">
        <f t="shared" si="20"/>
        <v>2318.7473765338141</v>
      </c>
      <c r="AL24" s="22"/>
      <c r="AM24" s="15">
        <f t="shared" si="36"/>
        <v>5</v>
      </c>
      <c r="AN24" s="7">
        <f t="shared" si="21"/>
        <v>301.13602292646931</v>
      </c>
      <c r="AO24" s="22">
        <f t="shared" si="22"/>
        <v>1505.6801146323464</v>
      </c>
      <c r="AQ24" s="7">
        <f t="shared" si="37"/>
        <v>0</v>
      </c>
      <c r="AR24" s="7">
        <f t="shared" si="23"/>
        <v>0</v>
      </c>
      <c r="AS24" s="22">
        <f t="shared" si="38"/>
        <v>0</v>
      </c>
      <c r="AU24" s="34">
        <f t="shared" si="24"/>
        <v>0</v>
      </c>
      <c r="AV24" s="22">
        <f t="shared" si="0"/>
        <v>0</v>
      </c>
      <c r="AX24" s="34">
        <f t="shared" si="25"/>
        <v>0</v>
      </c>
      <c r="AY24" s="22">
        <f t="shared" si="1"/>
        <v>0</v>
      </c>
      <c r="BA24" s="34">
        <f t="shared" si="26"/>
        <v>0</v>
      </c>
      <c r="BB24" s="22">
        <f t="shared" si="39"/>
        <v>0</v>
      </c>
      <c r="BD24" s="22">
        <f t="shared" si="40"/>
        <v>39.68</v>
      </c>
      <c r="BE24" s="7"/>
      <c r="BF24" s="22">
        <f t="shared" si="2"/>
        <v>3236.2084597164576</v>
      </c>
      <c r="BH24" s="22">
        <f t="shared" si="41"/>
        <v>19044.818127514875</v>
      </c>
      <c r="BJ24" s="22">
        <f t="shared" si="3"/>
        <v>7923.5857034556066</v>
      </c>
      <c r="BL24" s="22">
        <f t="shared" si="42"/>
        <v>1.6475186375455206</v>
      </c>
      <c r="BN24" s="7">
        <f>+'Almonds Margin - Baseline'!BN22</f>
        <v>214.81036302088148</v>
      </c>
      <c r="BO24" s="7">
        <f>+'Almonds Margin - Baseline'!BO22</f>
        <v>242.23176006996863</v>
      </c>
      <c r="BP24" s="7">
        <v>74.625447083007742</v>
      </c>
      <c r="BQ24" s="7">
        <v>107.58513225901993</v>
      </c>
    </row>
    <row r="25" spans="1:69" x14ac:dyDescent="0.2">
      <c r="A25" s="8">
        <f t="shared" si="4"/>
        <v>2039</v>
      </c>
      <c r="B25" s="34">
        <f>+'Almonds Margin - Baseline'!B23</f>
        <v>11222.335787726428</v>
      </c>
      <c r="D25" s="28">
        <f t="shared" si="43"/>
        <v>2.48</v>
      </c>
      <c r="F25" s="22">
        <f t="shared" si="27"/>
        <v>27831.39275356154</v>
      </c>
      <c r="G25" s="35"/>
      <c r="H25" s="28">
        <f t="shared" si="28"/>
        <v>557.54999999999995</v>
      </c>
      <c r="I25" s="14">
        <f t="shared" si="6"/>
        <v>5.8707179531637106</v>
      </c>
      <c r="J25" s="31">
        <f t="shared" si="7"/>
        <v>3273.2187947864268</v>
      </c>
      <c r="L25" s="15">
        <f t="shared" si="29"/>
        <v>5</v>
      </c>
      <c r="M25" s="7">
        <f t="shared" si="8"/>
        <v>28.749251152992876</v>
      </c>
      <c r="N25" s="7">
        <f t="shared" si="9"/>
        <v>143.74625576496439</v>
      </c>
      <c r="P25" s="15">
        <f t="shared" si="30"/>
        <v>4</v>
      </c>
      <c r="Q25" s="7">
        <f t="shared" si="10"/>
        <v>39.346760399328844</v>
      </c>
      <c r="R25" s="7">
        <f t="shared" si="11"/>
        <v>157.38704159731537</v>
      </c>
      <c r="T25" s="15">
        <f t="shared" si="31"/>
        <v>2</v>
      </c>
      <c r="U25" s="7">
        <f t="shared" si="12"/>
        <v>18.39995240835318</v>
      </c>
      <c r="V25" s="22">
        <f t="shared" si="13"/>
        <v>36.799904816706359</v>
      </c>
      <c r="W25" s="22"/>
      <c r="X25" s="15">
        <f t="shared" si="32"/>
        <v>0</v>
      </c>
      <c r="Y25" s="7">
        <f t="shared" si="14"/>
        <v>0</v>
      </c>
      <c r="Z25" s="22">
        <f t="shared" si="15"/>
        <v>0</v>
      </c>
      <c r="AB25" s="15">
        <f t="shared" si="16"/>
        <v>3.9356493727183417</v>
      </c>
      <c r="AC25" s="22">
        <f t="shared" si="33"/>
        <v>9.7604104443414865</v>
      </c>
      <c r="AE25" s="7">
        <f t="shared" si="34"/>
        <v>75.84</v>
      </c>
      <c r="AF25" s="7">
        <f t="shared" si="17"/>
        <v>111.510065560353</v>
      </c>
      <c r="AG25" s="22">
        <f t="shared" si="18"/>
        <v>8456.9233720971715</v>
      </c>
      <c r="AI25" s="15">
        <f t="shared" si="35"/>
        <v>14</v>
      </c>
      <c r="AJ25" s="7">
        <f t="shared" si="19"/>
        <v>170.92480661306402</v>
      </c>
      <c r="AK25" s="22">
        <f t="shared" si="20"/>
        <v>2392.9472925828964</v>
      </c>
      <c r="AL25" s="22"/>
      <c r="AM25" s="15">
        <f t="shared" si="36"/>
        <v>5</v>
      </c>
      <c r="AN25" s="7">
        <f t="shared" si="21"/>
        <v>310.77237566011638</v>
      </c>
      <c r="AO25" s="22">
        <f t="shared" si="22"/>
        <v>1553.8618783005818</v>
      </c>
      <c r="AQ25" s="7">
        <f t="shared" si="37"/>
        <v>0</v>
      </c>
      <c r="AR25" s="7">
        <f t="shared" si="23"/>
        <v>0</v>
      </c>
      <c r="AS25" s="22">
        <f t="shared" si="38"/>
        <v>0</v>
      </c>
      <c r="AU25" s="34">
        <f t="shared" si="24"/>
        <v>0</v>
      </c>
      <c r="AV25" s="22">
        <f t="shared" si="0"/>
        <v>0</v>
      </c>
      <c r="AX25" s="34">
        <f t="shared" si="25"/>
        <v>0</v>
      </c>
      <c r="AY25" s="22">
        <f t="shared" si="1"/>
        <v>0</v>
      </c>
      <c r="BA25" s="34">
        <f t="shared" si="26"/>
        <v>0</v>
      </c>
      <c r="BB25" s="22">
        <f t="shared" si="39"/>
        <v>0</v>
      </c>
      <c r="BD25" s="22">
        <f t="shared" si="40"/>
        <v>39.68</v>
      </c>
      <c r="BE25" s="7"/>
      <c r="BF25" s="22">
        <f t="shared" si="2"/>
        <v>3339.7671304273849</v>
      </c>
      <c r="BH25" s="22">
        <f t="shared" si="41"/>
        <v>19404.092080817791</v>
      </c>
      <c r="BJ25" s="22">
        <f t="shared" si="3"/>
        <v>8427.3006727437496</v>
      </c>
      <c r="BL25" s="22">
        <f t="shared" si="42"/>
        <v>1.6223108389487031</v>
      </c>
      <c r="BN25" s="7">
        <f>+'Almonds Margin - Baseline'!BN23</f>
        <v>221.6842946375497</v>
      </c>
      <c r="BO25" s="7">
        <f>+'Almonds Margin - Baseline'!BO23</f>
        <v>249.98317639220764</v>
      </c>
      <c r="BP25" s="7">
        <v>74.625447083007742</v>
      </c>
      <c r="BQ25" s="7">
        <v>107.58513225901993</v>
      </c>
    </row>
    <row r="26" spans="1:69" x14ac:dyDescent="0.2">
      <c r="A26" s="8">
        <f t="shared" si="4"/>
        <v>2040</v>
      </c>
      <c r="B26" s="34">
        <f>+'Almonds Margin - Baseline'!B24</f>
        <v>11581.450532933675</v>
      </c>
      <c r="D26" s="28">
        <f t="shared" si="43"/>
        <v>2.48</v>
      </c>
      <c r="F26" s="22">
        <f t="shared" si="27"/>
        <v>28721.997321675513</v>
      </c>
      <c r="G26" s="35"/>
      <c r="H26" s="28">
        <f t="shared" si="28"/>
        <v>557.54999999999995</v>
      </c>
      <c r="I26" s="14">
        <f t="shared" si="6"/>
        <v>5.8707179531637097</v>
      </c>
      <c r="J26" s="31">
        <f t="shared" si="7"/>
        <v>3273.2187947864259</v>
      </c>
      <c r="L26" s="15">
        <f t="shared" si="29"/>
        <v>5</v>
      </c>
      <c r="M26" s="7">
        <f t="shared" si="8"/>
        <v>28.749251152992873</v>
      </c>
      <c r="N26" s="7">
        <f t="shared" si="9"/>
        <v>143.74625576496436</v>
      </c>
      <c r="P26" s="15">
        <f t="shared" si="30"/>
        <v>4</v>
      </c>
      <c r="Q26" s="7">
        <f t="shared" si="10"/>
        <v>39.346760399328836</v>
      </c>
      <c r="R26" s="7">
        <f t="shared" si="11"/>
        <v>157.38704159731535</v>
      </c>
      <c r="T26" s="15">
        <f t="shared" si="31"/>
        <v>2</v>
      </c>
      <c r="U26" s="7">
        <f t="shared" si="12"/>
        <v>18.39995240835318</v>
      </c>
      <c r="V26" s="22">
        <f t="shared" si="13"/>
        <v>36.799904816706359</v>
      </c>
      <c r="W26" s="22"/>
      <c r="X26" s="15">
        <f t="shared" si="32"/>
        <v>0</v>
      </c>
      <c r="Y26" s="7">
        <f t="shared" si="14"/>
        <v>0</v>
      </c>
      <c r="Z26" s="22">
        <f t="shared" si="15"/>
        <v>0</v>
      </c>
      <c r="AB26" s="15">
        <f t="shared" si="16"/>
        <v>3.9986197626818352</v>
      </c>
      <c r="AC26" s="22">
        <f t="shared" si="33"/>
        <v>9.9165770114509506</v>
      </c>
      <c r="AE26" s="7">
        <f t="shared" si="34"/>
        <v>75.84</v>
      </c>
      <c r="AF26" s="7">
        <f t="shared" si="17"/>
        <v>113.29422660931864</v>
      </c>
      <c r="AG26" s="22">
        <f t="shared" si="18"/>
        <v>8592.2341460507268</v>
      </c>
      <c r="AI26" s="15">
        <f t="shared" si="35"/>
        <v>14</v>
      </c>
      <c r="AJ26" s="7">
        <f t="shared" si="19"/>
        <v>176.39440042468206</v>
      </c>
      <c r="AK26" s="22">
        <f t="shared" si="20"/>
        <v>2469.5216059455488</v>
      </c>
      <c r="AL26" s="22"/>
      <c r="AM26" s="15">
        <f t="shared" si="36"/>
        <v>5</v>
      </c>
      <c r="AN26" s="7">
        <f t="shared" si="21"/>
        <v>320.71709168124011</v>
      </c>
      <c r="AO26" s="22">
        <f t="shared" si="22"/>
        <v>1603.5854584062006</v>
      </c>
      <c r="AQ26" s="7">
        <f t="shared" si="37"/>
        <v>0</v>
      </c>
      <c r="AR26" s="7">
        <f t="shared" si="23"/>
        <v>0</v>
      </c>
      <c r="AS26" s="22">
        <f t="shared" si="38"/>
        <v>0</v>
      </c>
      <c r="AU26" s="34">
        <f t="shared" si="24"/>
        <v>0</v>
      </c>
      <c r="AV26" s="22">
        <f t="shared" si="0"/>
        <v>0</v>
      </c>
      <c r="AX26" s="34">
        <f t="shared" si="25"/>
        <v>0</v>
      </c>
      <c r="AY26" s="22">
        <f t="shared" si="1"/>
        <v>0</v>
      </c>
      <c r="BA26" s="34">
        <f t="shared" si="26"/>
        <v>0</v>
      </c>
      <c r="BB26" s="22">
        <f t="shared" si="39"/>
        <v>0</v>
      </c>
      <c r="BD26" s="22">
        <f t="shared" si="40"/>
        <v>39.68</v>
      </c>
      <c r="BE26" s="7"/>
      <c r="BF26" s="22">
        <f t="shared" si="2"/>
        <v>3446.6396786010614</v>
      </c>
      <c r="BH26" s="22">
        <f t="shared" si="41"/>
        <v>19772.729462980402</v>
      </c>
      <c r="BJ26" s="22">
        <f t="shared" si="3"/>
        <v>8949.2678586951115</v>
      </c>
      <c r="BL26" s="22">
        <f t="shared" si="42"/>
        <v>1.5976756710964044</v>
      </c>
      <c r="BN26" s="7">
        <f>+'Almonds Margin - Baseline'!BN24</f>
        <v>228.77819206595129</v>
      </c>
      <c r="BO26" s="7">
        <f>+'Almonds Margin - Baseline'!BO24</f>
        <v>257.98263803675826</v>
      </c>
      <c r="BP26" s="7">
        <v>74.625447083007742</v>
      </c>
      <c r="BQ26" s="7">
        <v>107.58513225901991</v>
      </c>
    </row>
    <row r="27" spans="1:69" x14ac:dyDescent="0.2">
      <c r="A27" s="8">
        <f t="shared" si="4"/>
        <v>2041</v>
      </c>
      <c r="B27" s="34">
        <f>+'Almonds Margin - Baseline'!B25</f>
        <v>11952.056949987555</v>
      </c>
      <c r="D27" s="28">
        <f t="shared" si="43"/>
        <v>2.48</v>
      </c>
      <c r="F27" s="22">
        <f t="shared" si="27"/>
        <v>29641.101235969134</v>
      </c>
      <c r="G27" s="35"/>
      <c r="H27" s="28">
        <f t="shared" si="28"/>
        <v>557.54999999999995</v>
      </c>
      <c r="I27" s="14">
        <f t="shared" si="6"/>
        <v>5.8707179531637106</v>
      </c>
      <c r="J27" s="31">
        <f t="shared" si="7"/>
        <v>3273.2187947864268</v>
      </c>
      <c r="L27" s="15">
        <f t="shared" si="29"/>
        <v>5</v>
      </c>
      <c r="M27" s="7">
        <f t="shared" si="8"/>
        <v>28.749251152992876</v>
      </c>
      <c r="N27" s="7">
        <f t="shared" si="9"/>
        <v>143.74625576496439</v>
      </c>
      <c r="P27" s="15">
        <f t="shared" si="30"/>
        <v>4</v>
      </c>
      <c r="Q27" s="7">
        <f t="shared" si="10"/>
        <v>39.346760399328844</v>
      </c>
      <c r="R27" s="7">
        <f t="shared" si="11"/>
        <v>157.38704159731537</v>
      </c>
      <c r="T27" s="15">
        <f t="shared" si="31"/>
        <v>2</v>
      </c>
      <c r="U27" s="7">
        <f t="shared" si="12"/>
        <v>18.399952408353183</v>
      </c>
      <c r="V27" s="22">
        <f t="shared" si="13"/>
        <v>36.799904816706366</v>
      </c>
      <c r="W27" s="22"/>
      <c r="X27" s="15">
        <f t="shared" si="32"/>
        <v>0</v>
      </c>
      <c r="Y27" s="7">
        <f t="shared" si="14"/>
        <v>0</v>
      </c>
      <c r="Z27" s="22">
        <f t="shared" si="15"/>
        <v>0</v>
      </c>
      <c r="AB27" s="15">
        <f t="shared" si="16"/>
        <v>4.0625976788847442</v>
      </c>
      <c r="AC27" s="22">
        <f t="shared" si="33"/>
        <v>10.075242243634166</v>
      </c>
      <c r="AE27" s="7">
        <f t="shared" si="34"/>
        <v>75.84</v>
      </c>
      <c r="AF27" s="7">
        <f t="shared" si="17"/>
        <v>115.10693423506774</v>
      </c>
      <c r="AG27" s="22">
        <f t="shared" si="18"/>
        <v>8729.7098923875383</v>
      </c>
      <c r="AI27" s="15">
        <f t="shared" si="35"/>
        <v>14</v>
      </c>
      <c r="AJ27" s="7">
        <f t="shared" si="19"/>
        <v>182.03902123827189</v>
      </c>
      <c r="AK27" s="22">
        <f t="shared" si="20"/>
        <v>2548.5462973358062</v>
      </c>
      <c r="AL27" s="22"/>
      <c r="AM27" s="15">
        <f t="shared" si="36"/>
        <v>5</v>
      </c>
      <c r="AN27" s="7">
        <f t="shared" si="21"/>
        <v>330.98003861503986</v>
      </c>
      <c r="AO27" s="22">
        <f t="shared" si="22"/>
        <v>1654.9001930751992</v>
      </c>
      <c r="AQ27" s="7">
        <f t="shared" si="37"/>
        <v>0</v>
      </c>
      <c r="AR27" s="7">
        <f t="shared" si="23"/>
        <v>0</v>
      </c>
      <c r="AS27" s="22">
        <f t="shared" si="38"/>
        <v>0</v>
      </c>
      <c r="AU27" s="34">
        <f t="shared" si="24"/>
        <v>0</v>
      </c>
      <c r="AV27" s="22">
        <f t="shared" si="0"/>
        <v>0</v>
      </c>
      <c r="AX27" s="34">
        <f t="shared" si="25"/>
        <v>0</v>
      </c>
      <c r="AY27" s="22">
        <f t="shared" si="1"/>
        <v>0</v>
      </c>
      <c r="BA27" s="34">
        <f t="shared" si="26"/>
        <v>0</v>
      </c>
      <c r="BB27" s="22">
        <f t="shared" si="39"/>
        <v>0</v>
      </c>
      <c r="BD27" s="22">
        <f t="shared" si="40"/>
        <v>39.68</v>
      </c>
      <c r="BE27" s="7"/>
      <c r="BF27" s="22">
        <f t="shared" si="2"/>
        <v>3556.9321483162958</v>
      </c>
      <c r="BH27" s="22">
        <f t="shared" si="41"/>
        <v>20150.995770323887</v>
      </c>
      <c r="BJ27" s="22">
        <f t="shared" si="3"/>
        <v>9490.105465645247</v>
      </c>
      <c r="BL27" s="22">
        <f t="shared" si="42"/>
        <v>1.5735986148472889</v>
      </c>
      <c r="BN27" s="7">
        <f>+'Almonds Margin - Baseline'!BN25</f>
        <v>236.09909421206174</v>
      </c>
      <c r="BO27" s="7">
        <f>+'Almonds Margin - Baseline'!BO25</f>
        <v>266.23808245393451</v>
      </c>
      <c r="BP27" s="7">
        <v>74.625447083007742</v>
      </c>
      <c r="BQ27" s="7">
        <v>107.58513225901993</v>
      </c>
    </row>
    <row r="28" spans="1:69" x14ac:dyDescent="0.2">
      <c r="A28" s="8">
        <f t="shared" si="4"/>
        <v>2042</v>
      </c>
      <c r="B28" s="34">
        <f>+'Almonds Margin - Baseline'!B26</f>
        <v>12334.522772387156</v>
      </c>
      <c r="D28" s="28">
        <f t="shared" si="43"/>
        <v>2.48</v>
      </c>
      <c r="F28" s="22">
        <f t="shared" si="27"/>
        <v>30589.616475520146</v>
      </c>
      <c r="G28" s="35"/>
      <c r="H28" s="28">
        <f t="shared" si="28"/>
        <v>557.54999999999995</v>
      </c>
      <c r="I28" s="14">
        <f t="shared" si="6"/>
        <v>5.8707179531637106</v>
      </c>
      <c r="J28" s="31">
        <f t="shared" si="7"/>
        <v>3273.2187947864268</v>
      </c>
      <c r="L28" s="15">
        <f t="shared" si="29"/>
        <v>5</v>
      </c>
      <c r="M28" s="7">
        <f t="shared" si="8"/>
        <v>28.749251152992876</v>
      </c>
      <c r="N28" s="7">
        <f t="shared" si="9"/>
        <v>143.74625576496439</v>
      </c>
      <c r="P28" s="15">
        <f t="shared" si="30"/>
        <v>4</v>
      </c>
      <c r="Q28" s="7">
        <f t="shared" si="10"/>
        <v>39.346760399328844</v>
      </c>
      <c r="R28" s="7">
        <f t="shared" si="11"/>
        <v>157.38704159731537</v>
      </c>
      <c r="T28" s="15">
        <f t="shared" si="31"/>
        <v>2</v>
      </c>
      <c r="U28" s="7">
        <f t="shared" si="12"/>
        <v>18.399952408353183</v>
      </c>
      <c r="V28" s="22">
        <f t="shared" si="13"/>
        <v>36.799904816706366</v>
      </c>
      <c r="W28" s="22"/>
      <c r="X28" s="15">
        <f t="shared" si="32"/>
        <v>0</v>
      </c>
      <c r="Y28" s="7">
        <f t="shared" si="14"/>
        <v>0</v>
      </c>
      <c r="Z28" s="22">
        <f t="shared" si="15"/>
        <v>0</v>
      </c>
      <c r="AB28" s="15">
        <f t="shared" si="16"/>
        <v>4.1275992417468998</v>
      </c>
      <c r="AC28" s="22">
        <f t="shared" si="33"/>
        <v>10.236446119532312</v>
      </c>
      <c r="AE28" s="7">
        <f t="shared" si="34"/>
        <v>75.84</v>
      </c>
      <c r="AF28" s="7">
        <f t="shared" si="17"/>
        <v>116.94864518282883</v>
      </c>
      <c r="AG28" s="22">
        <f t="shared" si="18"/>
        <v>8869.3852506657386</v>
      </c>
      <c r="AI28" s="15">
        <f t="shared" si="35"/>
        <v>14</v>
      </c>
      <c r="AJ28" s="7">
        <f t="shared" si="19"/>
        <v>187.86426991789659</v>
      </c>
      <c r="AK28" s="22">
        <f t="shared" si="20"/>
        <v>2630.0997788505524</v>
      </c>
      <c r="AL28" s="22"/>
      <c r="AM28" s="15">
        <f t="shared" si="36"/>
        <v>5</v>
      </c>
      <c r="AN28" s="7">
        <f t="shared" si="21"/>
        <v>341.57139985072109</v>
      </c>
      <c r="AO28" s="22">
        <f t="shared" si="22"/>
        <v>1707.8569992536054</v>
      </c>
      <c r="AQ28" s="7">
        <f t="shared" si="37"/>
        <v>0</v>
      </c>
      <c r="AR28" s="7">
        <f t="shared" si="23"/>
        <v>0</v>
      </c>
      <c r="AS28" s="22">
        <f t="shared" si="38"/>
        <v>0</v>
      </c>
      <c r="AU28" s="34">
        <f t="shared" si="24"/>
        <v>0</v>
      </c>
      <c r="AV28" s="22">
        <f t="shared" si="0"/>
        <v>0</v>
      </c>
      <c r="AX28" s="34">
        <f t="shared" si="25"/>
        <v>0</v>
      </c>
      <c r="AY28" s="22">
        <f t="shared" si="1"/>
        <v>0</v>
      </c>
      <c r="BA28" s="34">
        <f t="shared" si="26"/>
        <v>0</v>
      </c>
      <c r="BB28" s="22">
        <f t="shared" si="39"/>
        <v>0</v>
      </c>
      <c r="BD28" s="22">
        <f t="shared" si="40"/>
        <v>39.68</v>
      </c>
      <c r="BE28" s="7"/>
      <c r="BF28" s="22">
        <f t="shared" si="2"/>
        <v>3670.7539770624176</v>
      </c>
      <c r="BH28" s="22">
        <f t="shared" si="41"/>
        <v>20539.164448917258</v>
      </c>
      <c r="BJ28" s="22">
        <f t="shared" si="3"/>
        <v>10050.452026602889</v>
      </c>
      <c r="BL28" s="22">
        <f t="shared" si="42"/>
        <v>1.5500655512502062</v>
      </c>
      <c r="BN28" s="7">
        <f>+'Almonds Margin - Baseline'!BN26</f>
        <v>243.65426522684771</v>
      </c>
      <c r="BO28" s="7">
        <f>+'Almonds Margin - Baseline'!BO26</f>
        <v>274.75770109246042</v>
      </c>
      <c r="BP28" s="7">
        <v>74.625447083007742</v>
      </c>
      <c r="BQ28" s="7">
        <v>107.58513225901993</v>
      </c>
    </row>
    <row r="29" spans="1:69" x14ac:dyDescent="0.2">
      <c r="A29" s="8">
        <f t="shared" si="4"/>
        <v>2043</v>
      </c>
      <c r="B29" s="34">
        <f>+'Almonds Margin - Baseline'!B27</f>
        <v>12729.227501103544</v>
      </c>
      <c r="D29" s="28">
        <f t="shared" si="43"/>
        <v>2.48</v>
      </c>
      <c r="F29" s="22">
        <f t="shared" si="27"/>
        <v>31568.484202736789</v>
      </c>
      <c r="G29" s="35"/>
      <c r="H29" s="28">
        <f t="shared" si="28"/>
        <v>557.54999999999995</v>
      </c>
      <c r="I29" s="14">
        <f t="shared" si="6"/>
        <v>5.8707179531637106</v>
      </c>
      <c r="J29" s="31">
        <f t="shared" si="7"/>
        <v>3273.2187947864268</v>
      </c>
      <c r="L29" s="15">
        <f t="shared" si="29"/>
        <v>5</v>
      </c>
      <c r="M29" s="7">
        <f t="shared" si="8"/>
        <v>28.749251152992876</v>
      </c>
      <c r="N29" s="7">
        <f t="shared" si="9"/>
        <v>143.74625576496439</v>
      </c>
      <c r="P29" s="15">
        <f t="shared" si="30"/>
        <v>4</v>
      </c>
      <c r="Q29" s="7">
        <f t="shared" si="10"/>
        <v>39.346760399328844</v>
      </c>
      <c r="R29" s="7">
        <f t="shared" si="11"/>
        <v>157.38704159731537</v>
      </c>
      <c r="T29" s="15">
        <f t="shared" si="31"/>
        <v>2</v>
      </c>
      <c r="U29" s="7">
        <f t="shared" si="12"/>
        <v>18.399952408353183</v>
      </c>
      <c r="V29" s="22">
        <f t="shared" si="13"/>
        <v>36.799904816706366</v>
      </c>
      <c r="W29" s="22"/>
      <c r="X29" s="15">
        <f t="shared" si="32"/>
        <v>0</v>
      </c>
      <c r="Y29" s="7">
        <f t="shared" si="14"/>
        <v>0</v>
      </c>
      <c r="Z29" s="22">
        <f t="shared" si="15"/>
        <v>0</v>
      </c>
      <c r="AB29" s="15">
        <f t="shared" si="16"/>
        <v>4.19364082961485</v>
      </c>
      <c r="AC29" s="22">
        <f t="shared" si="33"/>
        <v>10.400229257444828</v>
      </c>
      <c r="AE29" s="7">
        <f t="shared" si="34"/>
        <v>75.84</v>
      </c>
      <c r="AF29" s="7">
        <f t="shared" si="17"/>
        <v>118.81982350575409</v>
      </c>
      <c r="AG29" s="22">
        <f t="shared" si="18"/>
        <v>9011.2954146763896</v>
      </c>
      <c r="AI29" s="15">
        <f t="shared" si="35"/>
        <v>14</v>
      </c>
      <c r="AJ29" s="7">
        <f t="shared" si="19"/>
        <v>193.8759265552693</v>
      </c>
      <c r="AK29" s="22">
        <f t="shared" si="20"/>
        <v>2714.26297177377</v>
      </c>
      <c r="AL29" s="22"/>
      <c r="AM29" s="15">
        <f t="shared" si="36"/>
        <v>5</v>
      </c>
      <c r="AN29" s="7">
        <f t="shared" si="21"/>
        <v>352.50168464594418</v>
      </c>
      <c r="AO29" s="22">
        <f t="shared" si="22"/>
        <v>1762.5084232297208</v>
      </c>
      <c r="AQ29" s="7">
        <f t="shared" si="37"/>
        <v>0</v>
      </c>
      <c r="AR29" s="7">
        <f t="shared" si="23"/>
        <v>0</v>
      </c>
      <c r="AS29" s="22">
        <f t="shared" si="38"/>
        <v>0</v>
      </c>
      <c r="AU29" s="34">
        <f t="shared" si="24"/>
        <v>0</v>
      </c>
      <c r="AV29" s="22">
        <f t="shared" si="0"/>
        <v>0</v>
      </c>
      <c r="AX29" s="34">
        <f t="shared" si="25"/>
        <v>0</v>
      </c>
      <c r="AY29" s="22">
        <f t="shared" si="1"/>
        <v>0</v>
      </c>
      <c r="BA29" s="34">
        <f t="shared" si="26"/>
        <v>0</v>
      </c>
      <c r="BB29" s="22">
        <f t="shared" si="39"/>
        <v>0</v>
      </c>
      <c r="BD29" s="22">
        <f t="shared" si="40"/>
        <v>39.68</v>
      </c>
      <c r="BE29" s="7"/>
      <c r="BF29" s="22">
        <f t="shared" si="2"/>
        <v>3788.2181043284145</v>
      </c>
      <c r="BH29" s="22">
        <f t="shared" si="41"/>
        <v>20937.51714023115</v>
      </c>
      <c r="BJ29" s="22">
        <f t="shared" si="3"/>
        <v>10630.967062505639</v>
      </c>
      <c r="BL29" s="22">
        <f t="shared" si="42"/>
        <v>1.5270627499026623</v>
      </c>
      <c r="BN29" s="7">
        <f>+'Almonds Margin - Baseline'!BN27</f>
        <v>251.45120171410684</v>
      </c>
      <c r="BO29" s="7">
        <f>+'Almonds Margin - Baseline'!BO27</f>
        <v>283.54994752741914</v>
      </c>
      <c r="BP29" s="7">
        <v>74.625447083007742</v>
      </c>
      <c r="BQ29" s="7">
        <v>107.58513225901993</v>
      </c>
    </row>
    <row r="30" spans="1:69" x14ac:dyDescent="0.2">
      <c r="A30" s="8">
        <f t="shared" si="4"/>
        <v>2044</v>
      </c>
      <c r="B30" s="34">
        <f>+'Almonds Margin - Baseline'!B28</f>
        <v>13136.562781138857</v>
      </c>
      <c r="D30" s="28">
        <f t="shared" si="43"/>
        <v>2.48</v>
      </c>
      <c r="F30" s="22">
        <f t="shared" si="27"/>
        <v>32578.675697224364</v>
      </c>
      <c r="G30" s="35"/>
      <c r="H30" s="28">
        <f t="shared" si="28"/>
        <v>557.54999999999995</v>
      </c>
      <c r="I30" s="14">
        <f t="shared" si="6"/>
        <v>5.8707179531637106</v>
      </c>
      <c r="J30" s="31">
        <f t="shared" si="7"/>
        <v>3273.2187947864268</v>
      </c>
      <c r="L30" s="15">
        <f t="shared" si="29"/>
        <v>5</v>
      </c>
      <c r="M30" s="7">
        <f t="shared" si="8"/>
        <v>28.749251152992876</v>
      </c>
      <c r="N30" s="7">
        <f t="shared" si="9"/>
        <v>143.74625576496439</v>
      </c>
      <c r="P30" s="15">
        <f t="shared" si="30"/>
        <v>4</v>
      </c>
      <c r="Q30" s="7">
        <f t="shared" si="10"/>
        <v>39.346760399328844</v>
      </c>
      <c r="R30" s="7">
        <f t="shared" si="11"/>
        <v>157.38704159731537</v>
      </c>
      <c r="T30" s="15">
        <f t="shared" si="31"/>
        <v>2</v>
      </c>
      <c r="U30" s="7">
        <f t="shared" si="12"/>
        <v>18.399952408353183</v>
      </c>
      <c r="V30" s="22">
        <f t="shared" si="13"/>
        <v>36.799904816706366</v>
      </c>
      <c r="W30" s="22"/>
      <c r="X30" s="15">
        <f t="shared" si="32"/>
        <v>0</v>
      </c>
      <c r="Y30" s="7">
        <f t="shared" si="14"/>
        <v>0</v>
      </c>
      <c r="Z30" s="22">
        <f t="shared" si="15"/>
        <v>0</v>
      </c>
      <c r="AB30" s="15">
        <f t="shared" si="16"/>
        <v>4.260739082888688</v>
      </c>
      <c r="AC30" s="22">
        <f t="shared" si="33"/>
        <v>10.566632925563946</v>
      </c>
      <c r="AE30" s="7">
        <f t="shared" si="34"/>
        <v>75.84</v>
      </c>
      <c r="AF30" s="7">
        <f t="shared" si="17"/>
        <v>120.72094068184616</v>
      </c>
      <c r="AG30" s="22">
        <f t="shared" si="18"/>
        <v>9155.4761413112137</v>
      </c>
      <c r="AI30" s="15">
        <f t="shared" si="35"/>
        <v>14</v>
      </c>
      <c r="AJ30" s="7">
        <f t="shared" si="19"/>
        <v>200.07995620503792</v>
      </c>
      <c r="AK30" s="22">
        <f t="shared" si="20"/>
        <v>2801.1193868705309</v>
      </c>
      <c r="AL30" s="22"/>
      <c r="AM30" s="15">
        <f t="shared" si="36"/>
        <v>5</v>
      </c>
      <c r="AN30" s="7">
        <f t="shared" si="21"/>
        <v>363.78173855461438</v>
      </c>
      <c r="AO30" s="22">
        <f t="shared" si="22"/>
        <v>1818.9086927730718</v>
      </c>
      <c r="AQ30" s="7">
        <f t="shared" si="37"/>
        <v>0</v>
      </c>
      <c r="AR30" s="7">
        <f t="shared" si="23"/>
        <v>0</v>
      </c>
      <c r="AS30" s="22">
        <f t="shared" si="38"/>
        <v>0</v>
      </c>
      <c r="AU30" s="34">
        <f t="shared" si="24"/>
        <v>0</v>
      </c>
      <c r="AV30" s="22">
        <f t="shared" si="0"/>
        <v>0</v>
      </c>
      <c r="AX30" s="34">
        <f t="shared" si="25"/>
        <v>0</v>
      </c>
      <c r="AY30" s="22">
        <f t="shared" si="1"/>
        <v>0</v>
      </c>
      <c r="BA30" s="34">
        <f t="shared" si="26"/>
        <v>0</v>
      </c>
      <c r="BB30" s="22">
        <f t="shared" si="39"/>
        <v>0</v>
      </c>
      <c r="BD30" s="22">
        <f t="shared" si="40"/>
        <v>39.68</v>
      </c>
      <c r="BE30" s="7"/>
      <c r="BF30" s="22">
        <f t="shared" si="2"/>
        <v>3909.4410836669235</v>
      </c>
      <c r="BH30" s="22">
        <f t="shared" si="41"/>
        <v>21346.343934512715</v>
      </c>
      <c r="BJ30" s="22">
        <f t="shared" si="3"/>
        <v>11232.331762711648</v>
      </c>
      <c r="BL30" s="22">
        <f t="shared" si="42"/>
        <v>1.5045768576587539</v>
      </c>
      <c r="BN30" s="7">
        <f>+'Almonds Margin - Baseline'!BN28</f>
        <v>259.49764016895824</v>
      </c>
      <c r="BO30" s="7">
        <f>+'Almonds Margin - Baseline'!BO28</f>
        <v>292.62354584829654</v>
      </c>
      <c r="BP30" s="7">
        <v>74.625447083007742</v>
      </c>
      <c r="BQ30" s="7">
        <v>107.58513225901993</v>
      </c>
    </row>
    <row r="31" spans="1:69" x14ac:dyDescent="0.2">
      <c r="A31" s="8">
        <f t="shared" si="4"/>
        <v>2045</v>
      </c>
      <c r="B31" s="34">
        <f>+'Almonds Margin - Baseline'!B29</f>
        <v>13556.932790135299</v>
      </c>
      <c r="D31" s="28">
        <f t="shared" si="43"/>
        <v>2.48</v>
      </c>
      <c r="F31" s="22">
        <f t="shared" si="27"/>
        <v>33621.193319535538</v>
      </c>
      <c r="G31" s="35"/>
      <c r="H31" s="28">
        <f t="shared" si="28"/>
        <v>557.54999999999995</v>
      </c>
      <c r="I31" s="14">
        <f t="shared" si="6"/>
        <v>5.8707179531637106</v>
      </c>
      <c r="J31" s="31">
        <f t="shared" si="7"/>
        <v>3273.2187947864268</v>
      </c>
      <c r="L31" s="15">
        <f t="shared" si="29"/>
        <v>5</v>
      </c>
      <c r="M31" s="7">
        <f t="shared" si="8"/>
        <v>28.749251152992876</v>
      </c>
      <c r="N31" s="7">
        <f t="shared" si="9"/>
        <v>143.74625576496439</v>
      </c>
      <c r="P31" s="15">
        <f t="shared" si="30"/>
        <v>4</v>
      </c>
      <c r="Q31" s="7">
        <f t="shared" si="10"/>
        <v>39.346760399328844</v>
      </c>
      <c r="R31" s="7">
        <f t="shared" si="11"/>
        <v>157.38704159731537</v>
      </c>
      <c r="T31" s="15">
        <f t="shared" si="31"/>
        <v>2</v>
      </c>
      <c r="U31" s="7">
        <f t="shared" si="12"/>
        <v>18.399952408353183</v>
      </c>
      <c r="V31" s="22">
        <f t="shared" si="13"/>
        <v>36.799904816706366</v>
      </c>
      <c r="W31" s="22"/>
      <c r="X31" s="15">
        <f t="shared" si="32"/>
        <v>0</v>
      </c>
      <c r="Y31" s="7">
        <f t="shared" si="14"/>
        <v>0</v>
      </c>
      <c r="Z31" s="22">
        <f t="shared" si="15"/>
        <v>0</v>
      </c>
      <c r="AB31" s="15">
        <f t="shared" si="16"/>
        <v>4.3289109082149073</v>
      </c>
      <c r="AC31" s="22">
        <f t="shared" si="33"/>
        <v>10.73569905237297</v>
      </c>
      <c r="AE31" s="7">
        <f t="shared" si="34"/>
        <v>75.84</v>
      </c>
      <c r="AF31" s="7">
        <f t="shared" si="17"/>
        <v>122.6524757327557</v>
      </c>
      <c r="AG31" s="22">
        <f t="shared" si="18"/>
        <v>9301.9637595721924</v>
      </c>
      <c r="AI31" s="15">
        <f t="shared" si="35"/>
        <v>14</v>
      </c>
      <c r="AJ31" s="7">
        <f t="shared" si="19"/>
        <v>206.48251480359912</v>
      </c>
      <c r="AK31" s="22">
        <f t="shared" si="20"/>
        <v>2890.7552072503877</v>
      </c>
      <c r="AL31" s="22"/>
      <c r="AM31" s="15">
        <f t="shared" si="36"/>
        <v>5</v>
      </c>
      <c r="AN31" s="7">
        <f t="shared" si="21"/>
        <v>375.42275418836198</v>
      </c>
      <c r="AO31" s="22">
        <f t="shared" si="22"/>
        <v>1877.1137709418099</v>
      </c>
      <c r="AQ31" s="7">
        <f t="shared" si="37"/>
        <v>0</v>
      </c>
      <c r="AR31" s="7">
        <f t="shared" si="23"/>
        <v>0</v>
      </c>
      <c r="AS31" s="22">
        <f t="shared" si="38"/>
        <v>0</v>
      </c>
      <c r="AU31" s="34">
        <f t="shared" si="24"/>
        <v>0</v>
      </c>
      <c r="AV31" s="22">
        <f t="shared" si="0"/>
        <v>0</v>
      </c>
      <c r="AX31" s="34">
        <f t="shared" si="25"/>
        <v>0</v>
      </c>
      <c r="AY31" s="22">
        <f t="shared" si="1"/>
        <v>0</v>
      </c>
      <c r="BA31" s="34">
        <f t="shared" si="26"/>
        <v>0</v>
      </c>
      <c r="BB31" s="22">
        <f t="shared" si="39"/>
        <v>0</v>
      </c>
      <c r="BD31" s="22">
        <f t="shared" si="40"/>
        <v>39.68</v>
      </c>
      <c r="BE31" s="7"/>
      <c r="BF31" s="22">
        <f t="shared" si="2"/>
        <v>4034.5431983442645</v>
      </c>
      <c r="BH31" s="22">
        <f t="shared" si="41"/>
        <v>21765.94363212644</v>
      </c>
      <c r="BJ31" s="22">
        <f t="shared" si="3"/>
        <v>11855.249687409098</v>
      </c>
      <c r="BL31" s="22">
        <f t="shared" si="42"/>
        <v>1.4825948876758781</v>
      </c>
      <c r="BN31" s="7">
        <f>+'Almonds Margin - Baseline'!BN29</f>
        <v>267.80156465436488</v>
      </c>
      <c r="BO31" s="7">
        <f>+'Almonds Margin - Baseline'!BO29</f>
        <v>301.98749931544205</v>
      </c>
      <c r="BP31" s="7">
        <v>74.625447083007742</v>
      </c>
      <c r="BQ31" s="7">
        <v>107.58513225901993</v>
      </c>
    </row>
    <row r="32" spans="1:69" x14ac:dyDescent="0.2">
      <c r="A32" s="8">
        <f t="shared" si="4"/>
        <v>2046</v>
      </c>
      <c r="B32" s="34">
        <f>+'Almonds Margin - Baseline'!B30</f>
        <v>13990.754639419629</v>
      </c>
      <c r="D32" s="28">
        <f t="shared" si="43"/>
        <v>2.48</v>
      </c>
      <c r="F32" s="22">
        <f t="shared" si="27"/>
        <v>34697.071505760679</v>
      </c>
      <c r="G32" s="35"/>
      <c r="H32" s="28">
        <f t="shared" si="28"/>
        <v>557.54999999999995</v>
      </c>
      <c r="I32" s="14">
        <f t="shared" si="6"/>
        <v>5.8707179531637106</v>
      </c>
      <c r="J32" s="31">
        <f t="shared" si="7"/>
        <v>3273.2187947864268</v>
      </c>
      <c r="L32" s="15">
        <f t="shared" si="29"/>
        <v>5</v>
      </c>
      <c r="M32" s="7">
        <f t="shared" si="8"/>
        <v>28.749251152992876</v>
      </c>
      <c r="N32" s="7">
        <f t="shared" si="9"/>
        <v>143.74625576496439</v>
      </c>
      <c r="P32" s="15">
        <f t="shared" si="30"/>
        <v>4</v>
      </c>
      <c r="Q32" s="7">
        <f t="shared" si="10"/>
        <v>39.346760399328844</v>
      </c>
      <c r="R32" s="7">
        <f t="shared" si="11"/>
        <v>157.38704159731537</v>
      </c>
      <c r="T32" s="15">
        <f t="shared" si="31"/>
        <v>2</v>
      </c>
      <c r="U32" s="7">
        <f t="shared" si="12"/>
        <v>18.399952408353183</v>
      </c>
      <c r="V32" s="22">
        <f t="shared" si="13"/>
        <v>36.799904816706366</v>
      </c>
      <c r="W32" s="22"/>
      <c r="X32" s="15">
        <f t="shared" si="32"/>
        <v>0</v>
      </c>
      <c r="Y32" s="7">
        <f t="shared" si="14"/>
        <v>0</v>
      </c>
      <c r="Z32" s="22">
        <f t="shared" si="15"/>
        <v>0</v>
      </c>
      <c r="AB32" s="15">
        <f t="shared" si="16"/>
        <v>4.3981734827463459</v>
      </c>
      <c r="AC32" s="22">
        <f t="shared" si="33"/>
        <v>10.907470237210937</v>
      </c>
      <c r="AE32" s="7">
        <f t="shared" si="34"/>
        <v>75.84</v>
      </c>
      <c r="AF32" s="7">
        <f t="shared" si="17"/>
        <v>124.6149153444798</v>
      </c>
      <c r="AG32" s="22">
        <f t="shared" si="18"/>
        <v>9450.7951797253481</v>
      </c>
      <c r="AI32" s="15">
        <f t="shared" si="35"/>
        <v>14</v>
      </c>
      <c r="AJ32" s="7">
        <f t="shared" si="19"/>
        <v>213.08995527731429</v>
      </c>
      <c r="AK32" s="22">
        <f t="shared" si="20"/>
        <v>2983.2593738823998</v>
      </c>
      <c r="AL32" s="22"/>
      <c r="AM32" s="15">
        <f t="shared" si="36"/>
        <v>5</v>
      </c>
      <c r="AN32" s="7">
        <f t="shared" si="21"/>
        <v>387.43628232238956</v>
      </c>
      <c r="AO32" s="22">
        <f t="shared" si="22"/>
        <v>1937.1814116119479</v>
      </c>
      <c r="AQ32" s="7">
        <f t="shared" si="37"/>
        <v>0</v>
      </c>
      <c r="AR32" s="7">
        <f t="shared" si="23"/>
        <v>0</v>
      </c>
      <c r="AS32" s="22">
        <f t="shared" si="38"/>
        <v>0</v>
      </c>
      <c r="AU32" s="34">
        <f t="shared" si="24"/>
        <v>0</v>
      </c>
      <c r="AV32" s="22">
        <f t="shared" si="0"/>
        <v>0</v>
      </c>
      <c r="AX32" s="34">
        <f t="shared" si="25"/>
        <v>0</v>
      </c>
      <c r="AY32" s="22">
        <f t="shared" si="1"/>
        <v>0</v>
      </c>
      <c r="BA32" s="34">
        <f t="shared" si="26"/>
        <v>0</v>
      </c>
      <c r="BB32" s="22">
        <f t="shared" si="39"/>
        <v>0</v>
      </c>
      <c r="BD32" s="22">
        <f t="shared" si="40"/>
        <v>39.68</v>
      </c>
      <c r="BE32" s="7"/>
      <c r="BF32" s="22">
        <f t="shared" si="2"/>
        <v>4163.6485806912815</v>
      </c>
      <c r="BH32" s="22">
        <f t="shared" si="41"/>
        <v>22196.624013113604</v>
      </c>
      <c r="BJ32" s="22">
        <f t="shared" si="3"/>
        <v>12500.447492647076</v>
      </c>
      <c r="BL32" s="22">
        <f t="shared" si="42"/>
        <v>1.4611042087898882</v>
      </c>
      <c r="BN32" s="7">
        <f>+'Almonds Margin - Baseline'!BN30</f>
        <v>276.37121472330455</v>
      </c>
      <c r="BO32" s="7">
        <f>+'Almonds Margin - Baseline'!BO30</f>
        <v>311.65109929353622</v>
      </c>
      <c r="BP32" s="7">
        <v>74.625447083007742</v>
      </c>
      <c r="BQ32" s="7">
        <v>107.58513225901993</v>
      </c>
    </row>
    <row r="33" spans="1:73" x14ac:dyDescent="0.2">
      <c r="A33" s="8">
        <f t="shared" si="4"/>
        <v>2047</v>
      </c>
      <c r="B33" s="34">
        <f>+'Almonds Margin - Baseline'!B31</f>
        <v>14438.458787881058</v>
      </c>
      <c r="D33" s="28">
        <f t="shared" si="43"/>
        <v>2.48</v>
      </c>
      <c r="F33" s="22">
        <f t="shared" si="27"/>
        <v>35807.377793945023</v>
      </c>
      <c r="G33" s="35"/>
      <c r="H33" s="28">
        <f t="shared" si="28"/>
        <v>557.54999999999995</v>
      </c>
      <c r="I33" s="14">
        <f t="shared" si="6"/>
        <v>5.8707179531637115</v>
      </c>
      <c r="J33" s="31">
        <f t="shared" si="7"/>
        <v>3273.2187947864272</v>
      </c>
      <c r="L33" s="15">
        <f t="shared" si="29"/>
        <v>5</v>
      </c>
      <c r="M33" s="7">
        <f t="shared" si="8"/>
        <v>28.749251152992883</v>
      </c>
      <c r="N33" s="7">
        <f t="shared" si="9"/>
        <v>143.74625576496442</v>
      </c>
      <c r="P33" s="15">
        <f t="shared" si="30"/>
        <v>4</v>
      </c>
      <c r="Q33" s="7">
        <f t="shared" si="10"/>
        <v>39.346760399328851</v>
      </c>
      <c r="R33" s="7">
        <f t="shared" si="11"/>
        <v>157.3870415973154</v>
      </c>
      <c r="T33" s="15">
        <f t="shared" si="31"/>
        <v>2</v>
      </c>
      <c r="U33" s="7">
        <f t="shared" si="12"/>
        <v>18.399952408353187</v>
      </c>
      <c r="V33" s="22">
        <f t="shared" si="13"/>
        <v>36.799904816706373</v>
      </c>
      <c r="W33" s="22"/>
      <c r="X33" s="15">
        <f t="shared" si="32"/>
        <v>0</v>
      </c>
      <c r="Y33" s="7">
        <f t="shared" si="14"/>
        <v>0</v>
      </c>
      <c r="Z33" s="22">
        <f t="shared" si="15"/>
        <v>0</v>
      </c>
      <c r="AB33" s="15">
        <f t="shared" si="16"/>
        <v>4.4685442584702875</v>
      </c>
      <c r="AC33" s="22">
        <f t="shared" si="33"/>
        <v>11.081989761006312</v>
      </c>
      <c r="AE33" s="7">
        <f t="shared" si="34"/>
        <v>75.84</v>
      </c>
      <c r="AF33" s="7">
        <f t="shared" si="17"/>
        <v>126.60875398999147</v>
      </c>
      <c r="AG33" s="22">
        <f t="shared" si="18"/>
        <v>9602.0079026009535</v>
      </c>
      <c r="AI33" s="15">
        <f t="shared" si="35"/>
        <v>14</v>
      </c>
      <c r="AJ33" s="7">
        <f t="shared" si="19"/>
        <v>219.90883384618837</v>
      </c>
      <c r="AK33" s="22">
        <f t="shared" si="20"/>
        <v>3078.7236738466372</v>
      </c>
      <c r="AL33" s="22"/>
      <c r="AM33" s="15">
        <f t="shared" si="36"/>
        <v>5</v>
      </c>
      <c r="AN33" s="7">
        <f t="shared" si="21"/>
        <v>399.834243356706</v>
      </c>
      <c r="AO33" s="22">
        <f t="shared" si="22"/>
        <v>1999.1712167835299</v>
      </c>
      <c r="AQ33" s="7">
        <f t="shared" si="37"/>
        <v>0</v>
      </c>
      <c r="AR33" s="7">
        <f t="shared" si="23"/>
        <v>0</v>
      </c>
      <c r="AS33" s="22">
        <f t="shared" si="38"/>
        <v>0</v>
      </c>
      <c r="AU33" s="34">
        <f t="shared" si="24"/>
        <v>0</v>
      </c>
      <c r="AV33" s="22">
        <f t="shared" si="0"/>
        <v>0</v>
      </c>
      <c r="AX33" s="34">
        <f t="shared" si="25"/>
        <v>0</v>
      </c>
      <c r="AY33" s="22">
        <f t="shared" si="1"/>
        <v>0</v>
      </c>
      <c r="BA33" s="34">
        <f t="shared" si="26"/>
        <v>0</v>
      </c>
      <c r="BB33" s="22">
        <f t="shared" si="39"/>
        <v>0</v>
      </c>
      <c r="BD33" s="22">
        <f t="shared" si="40"/>
        <v>39.68</v>
      </c>
      <c r="BE33" s="7"/>
      <c r="BF33" s="22">
        <f t="shared" si="2"/>
        <v>4296.8853352734022</v>
      </c>
      <c r="BH33" s="22">
        <f t="shared" si="41"/>
        <v>22638.702115230939</v>
      </c>
      <c r="BJ33" s="22">
        <f t="shared" si="3"/>
        <v>13168.675678714084</v>
      </c>
      <c r="BL33" s="22">
        <f t="shared" si="42"/>
        <v>1.4400925352086544</v>
      </c>
      <c r="BN33" s="7">
        <f>+'Almonds Margin - Baseline'!BN31</f>
        <v>285.21509359445031</v>
      </c>
      <c r="BO33" s="7">
        <f>+'Almonds Margin - Baseline'!BO31</f>
        <v>321.62393447092938</v>
      </c>
      <c r="BP33" s="7">
        <v>74.625447083007742</v>
      </c>
      <c r="BQ33" s="7">
        <v>107.58513225901996</v>
      </c>
    </row>
    <row r="34" spans="1:73" x14ac:dyDescent="0.2">
      <c r="A34" s="8">
        <f t="shared" si="4"/>
        <v>2048</v>
      </c>
      <c r="B34" s="34">
        <f>+'Almonds Margin - Baseline'!B32</f>
        <v>14900.489469093251</v>
      </c>
      <c r="D34" s="28">
        <f t="shared" si="43"/>
        <v>2.48</v>
      </c>
      <c r="F34" s="22">
        <f t="shared" si="27"/>
        <v>36953.213883351258</v>
      </c>
      <c r="G34" s="35"/>
      <c r="H34" s="28">
        <f t="shared" si="28"/>
        <v>557.54999999999995</v>
      </c>
      <c r="I34" s="14">
        <f t="shared" si="6"/>
        <v>5.8707179531637106</v>
      </c>
      <c r="J34" s="31">
        <f t="shared" si="7"/>
        <v>3273.2187947864268</v>
      </c>
      <c r="L34" s="15">
        <f t="shared" si="29"/>
        <v>5</v>
      </c>
      <c r="M34" s="7">
        <f t="shared" si="8"/>
        <v>28.749251152992876</v>
      </c>
      <c r="N34" s="7">
        <f t="shared" si="9"/>
        <v>143.74625576496439</v>
      </c>
      <c r="P34" s="15">
        <f t="shared" si="30"/>
        <v>4</v>
      </c>
      <c r="Q34" s="7">
        <f t="shared" si="10"/>
        <v>39.346760399328844</v>
      </c>
      <c r="R34" s="7">
        <f t="shared" si="11"/>
        <v>157.38704159731537</v>
      </c>
      <c r="T34" s="15">
        <f t="shared" si="31"/>
        <v>2</v>
      </c>
      <c r="U34" s="7">
        <f t="shared" si="12"/>
        <v>18.399952408353183</v>
      </c>
      <c r="V34" s="22">
        <f t="shared" si="13"/>
        <v>36.799904816706366</v>
      </c>
      <c r="W34" s="22"/>
      <c r="X34" s="15">
        <f t="shared" si="32"/>
        <v>0</v>
      </c>
      <c r="Y34" s="7">
        <f t="shared" si="14"/>
        <v>0</v>
      </c>
      <c r="Z34" s="22">
        <f t="shared" si="15"/>
        <v>0</v>
      </c>
      <c r="AB34" s="15">
        <f t="shared" si="16"/>
        <v>4.5400409666058117</v>
      </c>
      <c r="AC34" s="22">
        <f t="shared" si="33"/>
        <v>11.259301597182413</v>
      </c>
      <c r="AE34" s="7">
        <f t="shared" si="34"/>
        <v>75.84</v>
      </c>
      <c r="AF34" s="7">
        <f t="shared" si="17"/>
        <v>128.63449405383133</v>
      </c>
      <c r="AG34" s="22">
        <f t="shared" si="18"/>
        <v>9755.6400290425681</v>
      </c>
      <c r="AI34" s="15">
        <f t="shared" si="35"/>
        <v>14</v>
      </c>
      <c r="AJ34" s="7">
        <f t="shared" si="19"/>
        <v>226.94591652926638</v>
      </c>
      <c r="AK34" s="22">
        <f t="shared" si="20"/>
        <v>3177.2428314097292</v>
      </c>
      <c r="AL34" s="22"/>
      <c r="AM34" s="15">
        <f t="shared" si="36"/>
        <v>5</v>
      </c>
      <c r="AN34" s="7">
        <f t="shared" si="21"/>
        <v>412.62893914412064</v>
      </c>
      <c r="AO34" s="22">
        <f t="shared" si="22"/>
        <v>2063.1446957206031</v>
      </c>
      <c r="AQ34" s="7">
        <f t="shared" si="37"/>
        <v>0</v>
      </c>
      <c r="AR34" s="7">
        <f t="shared" si="23"/>
        <v>0</v>
      </c>
      <c r="AS34" s="22">
        <f t="shared" si="38"/>
        <v>0</v>
      </c>
      <c r="AU34" s="34">
        <f t="shared" si="24"/>
        <v>0</v>
      </c>
      <c r="AV34" s="22">
        <f t="shared" si="0"/>
        <v>0</v>
      </c>
      <c r="AX34" s="34">
        <f t="shared" si="25"/>
        <v>0</v>
      </c>
      <c r="AY34" s="22">
        <f t="shared" si="1"/>
        <v>0</v>
      </c>
      <c r="BA34" s="34">
        <f t="shared" si="26"/>
        <v>0</v>
      </c>
      <c r="BB34" s="22">
        <f t="shared" si="39"/>
        <v>0</v>
      </c>
      <c r="BD34" s="22">
        <f t="shared" si="40"/>
        <v>39.68</v>
      </c>
      <c r="BE34" s="7"/>
      <c r="BF34" s="22">
        <f t="shared" si="2"/>
        <v>4434.3856660021511</v>
      </c>
      <c r="BH34" s="22">
        <f t="shared" si="41"/>
        <v>23092.504520737646</v>
      </c>
      <c r="BJ34" s="22">
        <f t="shared" si="3"/>
        <v>13860.709362613612</v>
      </c>
      <c r="BL34" s="22">
        <f t="shared" si="42"/>
        <v>1.4195479165143201</v>
      </c>
      <c r="BN34" s="7">
        <f>+'Almonds Margin - Baseline'!BN32</f>
        <v>294.34197658947272</v>
      </c>
      <c r="BO34" s="7">
        <f>+'Almonds Margin - Baseline'!BO32</f>
        <v>331.91590037399914</v>
      </c>
      <c r="BP34" s="7">
        <v>74.625447083007742</v>
      </c>
      <c r="BQ34" s="7">
        <v>107.58513225901993</v>
      </c>
    </row>
    <row r="35" spans="1:73" x14ac:dyDescent="0.2">
      <c r="A35" s="8">
        <f t="shared" si="4"/>
        <v>2049</v>
      </c>
      <c r="B35" s="34">
        <f>+'Almonds Margin - Baseline'!B33</f>
        <v>15377.305132104235</v>
      </c>
      <c r="D35" s="28">
        <f t="shared" si="43"/>
        <v>2.48</v>
      </c>
      <c r="F35" s="22">
        <f t="shared" si="27"/>
        <v>38135.716727618499</v>
      </c>
      <c r="G35" s="35"/>
      <c r="H35" s="28">
        <f t="shared" si="28"/>
        <v>557.54999999999995</v>
      </c>
      <c r="I35" s="14">
        <f t="shared" si="6"/>
        <v>5.8707179531637115</v>
      </c>
      <c r="J35" s="31">
        <f t="shared" si="7"/>
        <v>3273.2187947864272</v>
      </c>
      <c r="L35" s="15">
        <f t="shared" si="29"/>
        <v>5</v>
      </c>
      <c r="M35" s="7">
        <f t="shared" si="8"/>
        <v>28.749251152992883</v>
      </c>
      <c r="N35" s="7">
        <f t="shared" si="9"/>
        <v>143.74625576496442</v>
      </c>
      <c r="P35" s="15">
        <f t="shared" si="30"/>
        <v>4</v>
      </c>
      <c r="Q35" s="7">
        <f t="shared" si="10"/>
        <v>39.346760399328851</v>
      </c>
      <c r="R35" s="7">
        <f t="shared" si="11"/>
        <v>157.3870415973154</v>
      </c>
      <c r="T35" s="15">
        <f t="shared" si="31"/>
        <v>2</v>
      </c>
      <c r="U35" s="7">
        <f t="shared" si="12"/>
        <v>18.399952408353187</v>
      </c>
      <c r="V35" s="22">
        <f t="shared" si="13"/>
        <v>36.799904816706373</v>
      </c>
      <c r="W35" s="22"/>
      <c r="X35" s="15">
        <f t="shared" si="32"/>
        <v>0</v>
      </c>
      <c r="Y35" s="7">
        <f t="shared" si="14"/>
        <v>0</v>
      </c>
      <c r="Z35" s="22">
        <f t="shared" si="15"/>
        <v>0</v>
      </c>
      <c r="AB35" s="15">
        <f t="shared" si="16"/>
        <v>4.6126816220715048</v>
      </c>
      <c r="AC35" s="22">
        <f t="shared" si="33"/>
        <v>11.439450422737332</v>
      </c>
      <c r="AE35" s="7">
        <f t="shared" si="34"/>
        <v>75.84</v>
      </c>
      <c r="AF35" s="7">
        <f t="shared" si="17"/>
        <v>130.69264595869262</v>
      </c>
      <c r="AG35" s="22">
        <f t="shared" si="18"/>
        <v>9911.7302695072485</v>
      </c>
      <c r="AI35" s="15">
        <f t="shared" si="35"/>
        <v>14</v>
      </c>
      <c r="AJ35" s="7">
        <f t="shared" si="19"/>
        <v>234.20818585820291</v>
      </c>
      <c r="AK35" s="22">
        <f t="shared" si="20"/>
        <v>3278.914602014841</v>
      </c>
      <c r="AL35" s="22"/>
      <c r="AM35" s="15">
        <f t="shared" si="36"/>
        <v>5</v>
      </c>
      <c r="AN35" s="7">
        <f t="shared" si="21"/>
        <v>425.83306519673255</v>
      </c>
      <c r="AO35" s="22">
        <f t="shared" si="22"/>
        <v>2129.1653259836626</v>
      </c>
      <c r="AQ35" s="7">
        <f t="shared" si="37"/>
        <v>0</v>
      </c>
      <c r="AR35" s="7">
        <f t="shared" si="23"/>
        <v>0</v>
      </c>
      <c r="AS35" s="22">
        <f t="shared" si="38"/>
        <v>0</v>
      </c>
      <c r="AU35" s="34">
        <f t="shared" si="24"/>
        <v>0</v>
      </c>
      <c r="AV35" s="22">
        <f t="shared" si="0"/>
        <v>0</v>
      </c>
      <c r="AX35" s="34">
        <f t="shared" si="25"/>
        <v>0</v>
      </c>
      <c r="AY35" s="22">
        <f t="shared" si="1"/>
        <v>0</v>
      </c>
      <c r="BA35" s="34">
        <f t="shared" si="26"/>
        <v>0</v>
      </c>
      <c r="BB35" s="22">
        <f t="shared" si="39"/>
        <v>0</v>
      </c>
      <c r="BD35" s="22">
        <f t="shared" si="40"/>
        <v>39.68</v>
      </c>
      <c r="BE35" s="7"/>
      <c r="BF35" s="22">
        <f t="shared" si="2"/>
        <v>4576.2860073142201</v>
      </c>
      <c r="BH35" s="22">
        <f t="shared" si="41"/>
        <v>23558.367652208122</v>
      </c>
      <c r="BJ35" s="22">
        <f t="shared" si="3"/>
        <v>14577.349075410377</v>
      </c>
      <c r="BL35" s="22">
        <f t="shared" si="42"/>
        <v>1.3994587279648305</v>
      </c>
      <c r="BN35" s="7">
        <f>+'Almonds Margin - Baseline'!BN33</f>
        <v>303.76091984033587</v>
      </c>
      <c r="BO35" s="7">
        <f>+'Almonds Margin - Baseline'!BO33</f>
        <v>342.53720918596713</v>
      </c>
      <c r="BP35" s="7">
        <v>74.625447083007742</v>
      </c>
      <c r="BQ35" s="7">
        <v>107.58513225901996</v>
      </c>
    </row>
    <row r="36" spans="1:73" x14ac:dyDescent="0.2">
      <c r="A36" s="8">
        <f t="shared" si="4"/>
        <v>2050</v>
      </c>
      <c r="B36" s="34">
        <f>+'Almonds Margin - Baseline'!B34</f>
        <v>15869.378896331569</v>
      </c>
      <c r="D36" s="28">
        <f t="shared" si="43"/>
        <v>2.48</v>
      </c>
      <c r="F36" s="22">
        <f t="shared" si="27"/>
        <v>39356.059662902291</v>
      </c>
      <c r="G36" s="35"/>
      <c r="H36" s="28">
        <f t="shared" si="28"/>
        <v>557.54999999999995</v>
      </c>
      <c r="I36" s="14">
        <f t="shared" si="6"/>
        <v>5.8707179531637115</v>
      </c>
      <c r="J36" s="31">
        <f t="shared" si="7"/>
        <v>3273.2187947864272</v>
      </c>
      <c r="L36" s="15">
        <f t="shared" si="29"/>
        <v>5</v>
      </c>
      <c r="M36" s="7">
        <f t="shared" si="8"/>
        <v>28.749251152992883</v>
      </c>
      <c r="N36" s="7">
        <f t="shared" si="9"/>
        <v>143.74625576496442</v>
      </c>
      <c r="P36" s="15">
        <f t="shared" si="30"/>
        <v>4</v>
      </c>
      <c r="Q36" s="7">
        <f t="shared" si="10"/>
        <v>39.346760399328851</v>
      </c>
      <c r="R36" s="7">
        <f t="shared" si="11"/>
        <v>157.3870415973154</v>
      </c>
      <c r="T36" s="15">
        <f t="shared" si="31"/>
        <v>2</v>
      </c>
      <c r="U36" s="7">
        <f t="shared" si="12"/>
        <v>18.399952408353187</v>
      </c>
      <c r="V36" s="22">
        <f t="shared" si="13"/>
        <v>36.799904816706373</v>
      </c>
      <c r="W36" s="22"/>
      <c r="X36" s="15">
        <f t="shared" si="32"/>
        <v>0</v>
      </c>
      <c r="Y36" s="7">
        <f t="shared" si="14"/>
        <v>0</v>
      </c>
      <c r="Z36" s="22">
        <f t="shared" si="15"/>
        <v>0</v>
      </c>
      <c r="AB36" s="15">
        <f t="shared" si="16"/>
        <v>4.686484528024649</v>
      </c>
      <c r="AC36" s="22">
        <f t="shared" si="33"/>
        <v>11.622481629501129</v>
      </c>
      <c r="AE36" s="7">
        <f t="shared" si="34"/>
        <v>75.84</v>
      </c>
      <c r="AF36" s="7">
        <f t="shared" si="17"/>
        <v>132.7837282940317</v>
      </c>
      <c r="AG36" s="22">
        <f t="shared" si="18"/>
        <v>10070.317953819365</v>
      </c>
      <c r="AI36" s="15">
        <f t="shared" si="35"/>
        <v>14</v>
      </c>
      <c r="AJ36" s="7">
        <f t="shared" si="19"/>
        <v>241.70284780566539</v>
      </c>
      <c r="AK36" s="22">
        <f t="shared" si="20"/>
        <v>3383.8398692793153</v>
      </c>
      <c r="AL36" s="22"/>
      <c r="AM36" s="15">
        <f t="shared" si="36"/>
        <v>5</v>
      </c>
      <c r="AN36" s="7">
        <f t="shared" si="21"/>
        <v>439.45972328302793</v>
      </c>
      <c r="AO36" s="22">
        <f t="shared" si="22"/>
        <v>2197.2986164151398</v>
      </c>
      <c r="AQ36" s="7">
        <f t="shared" si="37"/>
        <v>0</v>
      </c>
      <c r="AR36" s="7">
        <f t="shared" si="23"/>
        <v>0</v>
      </c>
      <c r="AS36" s="22">
        <f t="shared" si="38"/>
        <v>0</v>
      </c>
      <c r="AU36" s="34">
        <f t="shared" si="24"/>
        <v>0</v>
      </c>
      <c r="AV36" s="22">
        <f t="shared" si="0"/>
        <v>0</v>
      </c>
      <c r="AX36" s="34">
        <f t="shared" si="25"/>
        <v>0</v>
      </c>
      <c r="AY36" s="22">
        <f t="shared" si="1"/>
        <v>0</v>
      </c>
      <c r="BA36" s="34">
        <f t="shared" si="26"/>
        <v>0</v>
      </c>
      <c r="BB36" s="22">
        <f t="shared" si="39"/>
        <v>0</v>
      </c>
      <c r="BD36" s="22">
        <f t="shared" si="40"/>
        <v>39.68</v>
      </c>
      <c r="BE36" s="7"/>
      <c r="BF36" s="22">
        <f t="shared" si="2"/>
        <v>4722.7271595482744</v>
      </c>
      <c r="BH36" s="22">
        <f t="shared" si="41"/>
        <v>24036.638077657011</v>
      </c>
      <c r="BJ36" s="22">
        <f t="shared" si="3"/>
        <v>15319.42158524528</v>
      </c>
      <c r="BL36" s="22">
        <f t="shared" si="42"/>
        <v>1.3798136610856104</v>
      </c>
      <c r="BN36" s="7">
        <f>+'Almonds Margin - Baseline'!BN34</f>
        <v>313.48126927522662</v>
      </c>
      <c r="BO36" s="7">
        <f>+'Almonds Margin - Baseline'!BO34</f>
        <v>353.49839987991805</v>
      </c>
      <c r="BP36" s="7">
        <v>74.625447083007742</v>
      </c>
      <c r="BQ36" s="7">
        <v>107.58513225901996</v>
      </c>
    </row>
    <row r="37" spans="1:73" x14ac:dyDescent="0.2">
      <c r="A37" s="8">
        <f t="shared" si="4"/>
        <v>2051</v>
      </c>
      <c r="B37" s="34">
        <f>+'Almonds Margin - Baseline'!B35</f>
        <v>16377.199021014181</v>
      </c>
      <c r="D37" s="28">
        <f t="shared" si="43"/>
        <v>2.48</v>
      </c>
      <c r="F37" s="22">
        <f t="shared" si="27"/>
        <v>40615.45357211517</v>
      </c>
      <c r="G37" s="35"/>
      <c r="H37" s="28">
        <f t="shared" si="28"/>
        <v>557.54999999999995</v>
      </c>
      <c r="I37" s="14">
        <f t="shared" si="6"/>
        <v>5.8707179531637115</v>
      </c>
      <c r="J37" s="31">
        <f t="shared" si="7"/>
        <v>3273.2187947864272</v>
      </c>
      <c r="L37" s="15">
        <f t="shared" si="29"/>
        <v>5</v>
      </c>
      <c r="M37" s="7">
        <f t="shared" si="8"/>
        <v>28.749251152992883</v>
      </c>
      <c r="N37" s="7">
        <f t="shared" si="9"/>
        <v>143.74625576496442</v>
      </c>
      <c r="P37" s="15">
        <f t="shared" si="30"/>
        <v>4</v>
      </c>
      <c r="Q37" s="7">
        <f t="shared" si="10"/>
        <v>39.346760399328851</v>
      </c>
      <c r="R37" s="7">
        <f t="shared" si="11"/>
        <v>157.3870415973154</v>
      </c>
      <c r="T37" s="15">
        <f t="shared" si="31"/>
        <v>2</v>
      </c>
      <c r="U37" s="7">
        <f t="shared" si="12"/>
        <v>18.399952408353187</v>
      </c>
      <c r="V37" s="22">
        <f t="shared" si="13"/>
        <v>36.799904816706373</v>
      </c>
      <c r="W37" s="22"/>
      <c r="X37" s="15">
        <f t="shared" si="32"/>
        <v>0</v>
      </c>
      <c r="Y37" s="7">
        <f t="shared" si="14"/>
        <v>0</v>
      </c>
      <c r="Z37" s="22">
        <f t="shared" si="15"/>
        <v>0</v>
      </c>
      <c r="AB37" s="15">
        <f t="shared" si="16"/>
        <v>4.7614682804730437</v>
      </c>
      <c r="AC37" s="22">
        <f t="shared" si="33"/>
        <v>11.808441335573148</v>
      </c>
      <c r="AE37" s="7">
        <f t="shared" si="34"/>
        <v>75.84</v>
      </c>
      <c r="AF37" s="7">
        <f t="shared" si="17"/>
        <v>134.9082679467362</v>
      </c>
      <c r="AG37" s="22">
        <f t="shared" si="18"/>
        <v>10231.443041080474</v>
      </c>
      <c r="AI37" s="15">
        <f t="shared" si="35"/>
        <v>14</v>
      </c>
      <c r="AJ37" s="7">
        <f t="shared" si="19"/>
        <v>249.43733893544669</v>
      </c>
      <c r="AK37" s="22">
        <f t="shared" si="20"/>
        <v>3492.1227450962538</v>
      </c>
      <c r="AL37" s="22"/>
      <c r="AM37" s="15">
        <f t="shared" si="36"/>
        <v>5</v>
      </c>
      <c r="AN37" s="7">
        <f t="shared" si="21"/>
        <v>453.52243442808486</v>
      </c>
      <c r="AO37" s="22">
        <f t="shared" si="22"/>
        <v>2267.6121721404243</v>
      </c>
      <c r="AQ37" s="7">
        <f t="shared" si="37"/>
        <v>0</v>
      </c>
      <c r="AR37" s="7">
        <f t="shared" si="23"/>
        <v>0</v>
      </c>
      <c r="AS37" s="22">
        <f t="shared" si="38"/>
        <v>0</v>
      </c>
      <c r="AU37" s="34">
        <f t="shared" si="24"/>
        <v>0</v>
      </c>
      <c r="AV37" s="22">
        <f t="shared" si="0"/>
        <v>0</v>
      </c>
      <c r="AX37" s="34">
        <f t="shared" si="25"/>
        <v>0</v>
      </c>
      <c r="AY37" s="22">
        <f t="shared" si="1"/>
        <v>0</v>
      </c>
      <c r="BA37" s="34">
        <f t="shared" si="26"/>
        <v>0</v>
      </c>
      <c r="BB37" s="22">
        <f t="shared" si="39"/>
        <v>0</v>
      </c>
      <c r="BD37" s="22">
        <f t="shared" si="40"/>
        <v>39.68</v>
      </c>
      <c r="BE37" s="7"/>
      <c r="BF37" s="22">
        <f t="shared" si="2"/>
        <v>4873.8544286538199</v>
      </c>
      <c r="BH37" s="22">
        <f t="shared" si="41"/>
        <v>24527.672825271959</v>
      </c>
      <c r="BJ37" s="22">
        <f t="shared" si="3"/>
        <v>16087.780746843211</v>
      </c>
      <c r="BL37" s="22">
        <f t="shared" si="42"/>
        <v>1.3606017145425393</v>
      </c>
      <c r="BN37" s="7">
        <f>+'Almonds Margin - Baseline'!BN35</f>
        <v>323.5126698920339</v>
      </c>
      <c r="BO37" s="7">
        <f>+'Almonds Margin - Baseline'!BO35</f>
        <v>364.81034867607542</v>
      </c>
      <c r="BP37" s="7">
        <v>74.625447083007742</v>
      </c>
      <c r="BQ37" s="7">
        <v>107.58513225901996</v>
      </c>
    </row>
    <row r="38" spans="1:73" x14ac:dyDescent="0.2">
      <c r="A38" s="8">
        <f t="shared" si="4"/>
        <v>2052</v>
      </c>
      <c r="B38" s="34">
        <f>+'Almonds Margin - Baseline'!B36</f>
        <v>16901.269389686637</v>
      </c>
      <c r="D38" s="28">
        <f t="shared" si="43"/>
        <v>2.48</v>
      </c>
      <c r="F38" s="22">
        <f t="shared" si="27"/>
        <v>41915.148086422858</v>
      </c>
      <c r="G38" s="35"/>
      <c r="H38" s="28">
        <f t="shared" si="28"/>
        <v>557.54999999999995</v>
      </c>
      <c r="I38" s="14">
        <f t="shared" si="6"/>
        <v>5.8707179531637115</v>
      </c>
      <c r="J38" s="31">
        <f t="shared" si="7"/>
        <v>3273.2187947864272</v>
      </c>
      <c r="L38" s="15">
        <f t="shared" si="29"/>
        <v>5</v>
      </c>
      <c r="M38" s="7">
        <f t="shared" si="8"/>
        <v>28.749251152992883</v>
      </c>
      <c r="N38" s="7">
        <f t="shared" si="9"/>
        <v>143.74625576496442</v>
      </c>
      <c r="P38" s="15">
        <f t="shared" si="30"/>
        <v>4</v>
      </c>
      <c r="Q38" s="7">
        <f t="shared" si="10"/>
        <v>39.346760399328851</v>
      </c>
      <c r="R38" s="7">
        <f t="shared" si="11"/>
        <v>157.3870415973154</v>
      </c>
      <c r="T38" s="15">
        <f t="shared" si="31"/>
        <v>2</v>
      </c>
      <c r="U38" s="7">
        <f t="shared" si="12"/>
        <v>18.399952408353187</v>
      </c>
      <c r="V38" s="22">
        <f t="shared" si="13"/>
        <v>36.799904816706373</v>
      </c>
      <c r="W38" s="22"/>
      <c r="X38" s="15">
        <f t="shared" si="32"/>
        <v>0</v>
      </c>
      <c r="Y38" s="7">
        <f t="shared" si="14"/>
        <v>0</v>
      </c>
      <c r="Z38" s="22">
        <f t="shared" si="15"/>
        <v>0</v>
      </c>
      <c r="AB38" s="15">
        <f t="shared" si="16"/>
        <v>4.8376517729606121</v>
      </c>
      <c r="AC38" s="22">
        <f t="shared" si="33"/>
        <v>11.997376396942318</v>
      </c>
      <c r="AE38" s="7">
        <f t="shared" si="34"/>
        <v>75.84</v>
      </c>
      <c r="AF38" s="7">
        <f t="shared" si="17"/>
        <v>137.06680023388398</v>
      </c>
      <c r="AG38" s="22">
        <f t="shared" si="18"/>
        <v>10395.146129737761</v>
      </c>
      <c r="AI38" s="15">
        <f t="shared" si="35"/>
        <v>14</v>
      </c>
      <c r="AJ38" s="7">
        <f t="shared" si="19"/>
        <v>257.419333781381</v>
      </c>
      <c r="AK38" s="22">
        <f t="shared" si="20"/>
        <v>3603.8706729393339</v>
      </c>
      <c r="AL38" s="22"/>
      <c r="AM38" s="15">
        <f t="shared" si="36"/>
        <v>5</v>
      </c>
      <c r="AN38" s="7">
        <f t="shared" si="21"/>
        <v>468.03515232978361</v>
      </c>
      <c r="AO38" s="22">
        <f t="shared" si="22"/>
        <v>2340.1757616489181</v>
      </c>
      <c r="AQ38" s="7">
        <f t="shared" si="37"/>
        <v>0</v>
      </c>
      <c r="AR38" s="7">
        <f t="shared" si="23"/>
        <v>0</v>
      </c>
      <c r="AS38" s="22">
        <f t="shared" si="38"/>
        <v>0</v>
      </c>
      <c r="AU38" s="34">
        <f t="shared" si="24"/>
        <v>0</v>
      </c>
      <c r="AV38" s="22">
        <f t="shared" si="0"/>
        <v>0</v>
      </c>
      <c r="AX38" s="34">
        <f t="shared" si="25"/>
        <v>0</v>
      </c>
      <c r="AY38" s="22">
        <f t="shared" si="1"/>
        <v>0</v>
      </c>
      <c r="BA38" s="34">
        <f t="shared" si="26"/>
        <v>0</v>
      </c>
      <c r="BB38" s="22">
        <f t="shared" si="39"/>
        <v>0</v>
      </c>
      <c r="BD38" s="22">
        <f t="shared" si="40"/>
        <v>39.68</v>
      </c>
      <c r="BE38" s="7"/>
      <c r="BF38" s="22">
        <f t="shared" si="2"/>
        <v>5029.8177703707424</v>
      </c>
      <c r="BH38" s="22">
        <f t="shared" si="41"/>
        <v>25031.839708059109</v>
      </c>
      <c r="BJ38" s="22">
        <f t="shared" si="3"/>
        <v>16883.308378363748</v>
      </c>
      <c r="BL38" s="22">
        <f t="shared" si="42"/>
        <v>1.3418121852876583</v>
      </c>
      <c r="BN38" s="7">
        <f>+'Almonds Margin - Baseline'!BN36</f>
        <v>333.865075328579</v>
      </c>
      <c r="BO38" s="7">
        <f>+'Almonds Margin - Baseline'!BO36</f>
        <v>376.48427983370982</v>
      </c>
      <c r="BP38" s="7">
        <v>74.625447083007742</v>
      </c>
      <c r="BQ38" s="7">
        <v>107.58513225901996</v>
      </c>
    </row>
    <row r="39" spans="1:73" x14ac:dyDescent="0.2">
      <c r="A39" s="8">
        <f t="shared" si="4"/>
        <v>2053</v>
      </c>
      <c r="B39" s="34">
        <f>+'Almonds Margin - Baseline'!B37</f>
        <v>17442.110010156608</v>
      </c>
      <c r="D39" s="28">
        <f t="shared" si="43"/>
        <v>2.48</v>
      </c>
      <c r="F39" s="22">
        <f t="shared" si="27"/>
        <v>43256.432825188385</v>
      </c>
      <c r="G39" s="35"/>
      <c r="H39" s="28">
        <f t="shared" si="28"/>
        <v>557.54999999999995</v>
      </c>
      <c r="I39" s="14">
        <f t="shared" si="6"/>
        <v>5.8707179531637115</v>
      </c>
      <c r="J39" s="31">
        <f t="shared" si="7"/>
        <v>3273.2187947864272</v>
      </c>
      <c r="L39" s="15">
        <f t="shared" si="29"/>
        <v>5</v>
      </c>
      <c r="M39" s="7">
        <f t="shared" si="8"/>
        <v>28.749251152992883</v>
      </c>
      <c r="N39" s="7">
        <f t="shared" si="9"/>
        <v>143.74625576496442</v>
      </c>
      <c r="P39" s="15">
        <f t="shared" si="30"/>
        <v>4</v>
      </c>
      <c r="Q39" s="7">
        <f t="shared" si="10"/>
        <v>39.346760399328851</v>
      </c>
      <c r="R39" s="7">
        <f t="shared" si="11"/>
        <v>157.3870415973154</v>
      </c>
      <c r="T39" s="15">
        <f t="shared" si="31"/>
        <v>2</v>
      </c>
      <c r="U39" s="7">
        <f t="shared" si="12"/>
        <v>18.399952408353187</v>
      </c>
      <c r="V39" s="22">
        <f t="shared" si="13"/>
        <v>36.799904816706373</v>
      </c>
      <c r="W39" s="22"/>
      <c r="X39" s="15">
        <f t="shared" si="32"/>
        <v>0</v>
      </c>
      <c r="Y39" s="7">
        <f t="shared" si="14"/>
        <v>0</v>
      </c>
      <c r="Z39" s="22">
        <f t="shared" si="15"/>
        <v>0</v>
      </c>
      <c r="AB39" s="15">
        <f t="shared" si="16"/>
        <v>4.9150542013279823</v>
      </c>
      <c r="AC39" s="22">
        <f t="shared" si="33"/>
        <v>12.189334419293395</v>
      </c>
      <c r="AE39" s="7">
        <f t="shared" si="34"/>
        <v>75.84</v>
      </c>
      <c r="AF39" s="7">
        <f t="shared" si="17"/>
        <v>139.25986903762612</v>
      </c>
      <c r="AG39" s="22">
        <f t="shared" si="18"/>
        <v>10561.468467813565</v>
      </c>
      <c r="AI39" s="15">
        <f t="shared" si="35"/>
        <v>14</v>
      </c>
      <c r="AJ39" s="7">
        <f t="shared" si="19"/>
        <v>265.65675246238521</v>
      </c>
      <c r="AK39" s="22">
        <f t="shared" si="20"/>
        <v>3719.1945344733931</v>
      </c>
      <c r="AL39" s="22"/>
      <c r="AM39" s="15">
        <f t="shared" si="36"/>
        <v>5</v>
      </c>
      <c r="AN39" s="7">
        <f t="shared" si="21"/>
        <v>483.01227720433661</v>
      </c>
      <c r="AO39" s="22">
        <f t="shared" si="22"/>
        <v>2415.0613860216831</v>
      </c>
      <c r="AQ39" s="7">
        <f t="shared" si="37"/>
        <v>0</v>
      </c>
      <c r="AR39" s="7">
        <f t="shared" si="23"/>
        <v>0</v>
      </c>
      <c r="AS39" s="22">
        <f t="shared" si="38"/>
        <v>0</v>
      </c>
      <c r="AU39" s="34">
        <f t="shared" si="24"/>
        <v>0</v>
      </c>
      <c r="AV39" s="22">
        <f t="shared" si="0"/>
        <v>0</v>
      </c>
      <c r="AX39" s="34">
        <f t="shared" si="25"/>
        <v>0</v>
      </c>
      <c r="AY39" s="22">
        <f t="shared" si="1"/>
        <v>0</v>
      </c>
      <c r="BA39" s="34">
        <f t="shared" si="26"/>
        <v>0</v>
      </c>
      <c r="BB39" s="22">
        <f t="shared" si="39"/>
        <v>0</v>
      </c>
      <c r="BD39" s="22">
        <f t="shared" si="40"/>
        <v>39.68</v>
      </c>
      <c r="BE39" s="7"/>
      <c r="BF39" s="22">
        <f t="shared" si="2"/>
        <v>5190.7719390226057</v>
      </c>
      <c r="BH39" s="22">
        <f t="shared" si="41"/>
        <v>25549.517658715955</v>
      </c>
      <c r="BJ39" s="22">
        <f t="shared" si="3"/>
        <v>17706.91516647243</v>
      </c>
      <c r="BL39" s="22">
        <f t="shared" si="42"/>
        <v>1.323434659969289</v>
      </c>
      <c r="BN39" s="7">
        <f>+'Almonds Margin - Baseline'!BN37</f>
        <v>344.5487577390935</v>
      </c>
      <c r="BO39" s="7">
        <f>+'Almonds Margin - Baseline'!BO37</f>
        <v>388.53177678838853</v>
      </c>
      <c r="BP39" s="7">
        <v>74.625447083007742</v>
      </c>
      <c r="BQ39" s="7">
        <v>107.58513225901996</v>
      </c>
    </row>
    <row r="40" spans="1:73" x14ac:dyDescent="0.2">
      <c r="A40" s="8">
        <f t="shared" si="4"/>
        <v>2054</v>
      </c>
      <c r="B40" s="34">
        <f>+'Almonds Margin - Baseline'!B38</f>
        <v>18000.25753048162</v>
      </c>
      <c r="D40" s="28">
        <f t="shared" si="43"/>
        <v>2.48</v>
      </c>
      <c r="F40" s="22">
        <f t="shared" si="27"/>
        <v>44640.638675594419</v>
      </c>
      <c r="G40" s="35"/>
      <c r="H40" s="28">
        <f t="shared" si="28"/>
        <v>557.54999999999995</v>
      </c>
      <c r="I40" s="14">
        <f t="shared" si="6"/>
        <v>5.8707179531637115</v>
      </c>
      <c r="J40" s="31">
        <f t="shared" si="7"/>
        <v>3273.2187947864272</v>
      </c>
      <c r="L40" s="15">
        <f t="shared" si="29"/>
        <v>5</v>
      </c>
      <c r="M40" s="7">
        <f t="shared" si="8"/>
        <v>28.749251152992883</v>
      </c>
      <c r="N40" s="7">
        <f t="shared" si="9"/>
        <v>143.74625576496442</v>
      </c>
      <c r="P40" s="15">
        <f t="shared" si="30"/>
        <v>4</v>
      </c>
      <c r="Q40" s="7">
        <f t="shared" si="10"/>
        <v>39.346760399328851</v>
      </c>
      <c r="R40" s="7">
        <f t="shared" si="11"/>
        <v>157.3870415973154</v>
      </c>
      <c r="T40" s="15">
        <f t="shared" si="31"/>
        <v>2</v>
      </c>
      <c r="U40" s="7">
        <f t="shared" si="12"/>
        <v>18.399952408353187</v>
      </c>
      <c r="V40" s="22">
        <f t="shared" si="13"/>
        <v>36.799904816706373</v>
      </c>
      <c r="W40" s="22"/>
      <c r="X40" s="15">
        <f t="shared" si="32"/>
        <v>0</v>
      </c>
      <c r="Y40" s="7">
        <f t="shared" si="14"/>
        <v>0</v>
      </c>
      <c r="Z40" s="22">
        <f t="shared" si="15"/>
        <v>0</v>
      </c>
      <c r="AB40" s="15">
        <f t="shared" si="16"/>
        <v>4.9936950685492301</v>
      </c>
      <c r="AC40" s="22">
        <f t="shared" si="33"/>
        <v>12.384363770002091</v>
      </c>
      <c r="AE40" s="7">
        <f t="shared" si="34"/>
        <v>75.84</v>
      </c>
      <c r="AF40" s="7">
        <f t="shared" si="17"/>
        <v>141.48802694222815</v>
      </c>
      <c r="AG40" s="22">
        <f t="shared" si="18"/>
        <v>10730.451963298583</v>
      </c>
      <c r="AI40" s="15">
        <f t="shared" si="35"/>
        <v>14</v>
      </c>
      <c r="AJ40" s="7">
        <f t="shared" si="19"/>
        <v>274.15776854118155</v>
      </c>
      <c r="AK40" s="22">
        <f t="shared" si="20"/>
        <v>3838.2087595765415</v>
      </c>
      <c r="AL40" s="22"/>
      <c r="AM40" s="15">
        <f t="shared" si="36"/>
        <v>5</v>
      </c>
      <c r="AN40" s="7">
        <f t="shared" si="21"/>
        <v>498.46867007487543</v>
      </c>
      <c r="AO40" s="22">
        <f t="shared" si="22"/>
        <v>2492.3433503743772</v>
      </c>
      <c r="AQ40" s="7">
        <f t="shared" si="37"/>
        <v>0</v>
      </c>
      <c r="AR40" s="7">
        <f t="shared" si="23"/>
        <v>0</v>
      </c>
      <c r="AS40" s="22">
        <f t="shared" si="38"/>
        <v>0</v>
      </c>
      <c r="AU40" s="34">
        <f t="shared" si="24"/>
        <v>0</v>
      </c>
      <c r="AV40" s="22">
        <f t="shared" si="0"/>
        <v>0</v>
      </c>
      <c r="AX40" s="34">
        <f t="shared" si="25"/>
        <v>0</v>
      </c>
      <c r="AY40" s="22">
        <f t="shared" si="1"/>
        <v>0</v>
      </c>
      <c r="BA40" s="34">
        <f t="shared" si="26"/>
        <v>0</v>
      </c>
      <c r="BB40" s="22">
        <f t="shared" si="39"/>
        <v>0</v>
      </c>
      <c r="BD40" s="22">
        <f t="shared" si="40"/>
        <v>39.68</v>
      </c>
      <c r="BE40" s="7"/>
      <c r="BF40" s="22">
        <f t="shared" si="2"/>
        <v>5356.8766410713297</v>
      </c>
      <c r="BH40" s="22">
        <f t="shared" si="41"/>
        <v>26081.097075056245</v>
      </c>
      <c r="BJ40" s="22">
        <f t="shared" si="3"/>
        <v>18559.541600538174</v>
      </c>
      <c r="BL40" s="22">
        <f t="shared" si="42"/>
        <v>1.3054590065985177</v>
      </c>
      <c r="BN40" s="7">
        <f>+'Almonds Margin - Baseline'!BN38</f>
        <v>355.57431798674452</v>
      </c>
      <c r="BO40" s="7">
        <f>+'Almonds Margin - Baseline'!BO38</f>
        <v>400.96479364561696</v>
      </c>
      <c r="BP40" s="7">
        <v>74.625447083007742</v>
      </c>
      <c r="BQ40" s="7">
        <v>107.58513225901996</v>
      </c>
    </row>
    <row r="41" spans="1:73" x14ac:dyDescent="0.2">
      <c r="A41" s="8">
        <f t="shared" si="4"/>
        <v>2055</v>
      </c>
      <c r="B41" s="34">
        <f>+'Almonds Margin - Baseline'!B39</f>
        <v>18576.265771457034</v>
      </c>
      <c r="D41" s="28">
        <f>+D7*'Almonds Margin - Baseline'!D39/'Almonds Margin - Baseline'!D5</f>
        <v>2.48</v>
      </c>
      <c r="F41" s="22">
        <f t="shared" si="27"/>
        <v>46069.139113213445</v>
      </c>
      <c r="G41" s="35"/>
      <c r="H41" s="28">
        <f t="shared" si="28"/>
        <v>557.54999999999995</v>
      </c>
      <c r="I41" s="14">
        <f t="shared" si="6"/>
        <v>5.8707179531637115</v>
      </c>
      <c r="J41" s="31">
        <f t="shared" si="7"/>
        <v>3273.2187947864272</v>
      </c>
      <c r="L41" s="15">
        <f t="shared" si="29"/>
        <v>5</v>
      </c>
      <c r="M41" s="7">
        <f t="shared" si="8"/>
        <v>28.749251152992883</v>
      </c>
      <c r="N41" s="7">
        <f t="shared" si="9"/>
        <v>143.74625576496442</v>
      </c>
      <c r="P41" s="15">
        <f t="shared" si="30"/>
        <v>4</v>
      </c>
      <c r="Q41" s="7">
        <f t="shared" si="10"/>
        <v>39.346760399328851</v>
      </c>
      <c r="R41" s="7">
        <f t="shared" si="11"/>
        <v>157.3870415973154</v>
      </c>
      <c r="T41" s="15">
        <f t="shared" si="31"/>
        <v>2</v>
      </c>
      <c r="U41" s="7">
        <f t="shared" si="12"/>
        <v>18.399952408353187</v>
      </c>
      <c r="V41" s="22">
        <f t="shared" si="13"/>
        <v>36.799904816706373</v>
      </c>
      <c r="W41" s="22"/>
      <c r="X41" s="15">
        <f t="shared" si="32"/>
        <v>0</v>
      </c>
      <c r="Y41" s="7">
        <f t="shared" si="14"/>
        <v>0</v>
      </c>
      <c r="Z41" s="22">
        <f t="shared" si="15"/>
        <v>0</v>
      </c>
      <c r="AB41" s="15">
        <f t="shared" si="16"/>
        <v>5.0735941896460179</v>
      </c>
      <c r="AC41" s="22">
        <f t="shared" si="33"/>
        <v>12.582513590322124</v>
      </c>
      <c r="AE41" s="7">
        <f t="shared" si="34"/>
        <v>75.84</v>
      </c>
      <c r="AF41" s="7">
        <f t="shared" si="17"/>
        <v>143.75183537330381</v>
      </c>
      <c r="AG41" s="22">
        <f t="shared" si="18"/>
        <v>10902.139194711361</v>
      </c>
      <c r="AI41" s="15">
        <f t="shared" si="35"/>
        <v>14</v>
      </c>
      <c r="AJ41" s="7">
        <f t="shared" si="19"/>
        <v>282.93081713449936</v>
      </c>
      <c r="AK41" s="22">
        <f t="shared" si="20"/>
        <v>3961.031439882991</v>
      </c>
      <c r="AL41" s="22"/>
      <c r="AM41" s="15">
        <f t="shared" si="36"/>
        <v>5</v>
      </c>
      <c r="AN41" s="7">
        <f t="shared" si="21"/>
        <v>514.41966751727148</v>
      </c>
      <c r="AO41" s="22">
        <f t="shared" si="22"/>
        <v>2572.0983375863575</v>
      </c>
      <c r="AQ41" s="7">
        <f t="shared" si="37"/>
        <v>0</v>
      </c>
      <c r="AR41" s="7">
        <f t="shared" si="23"/>
        <v>0</v>
      </c>
      <c r="AS41" s="22">
        <f t="shared" si="38"/>
        <v>0</v>
      </c>
      <c r="AU41" s="34">
        <f t="shared" si="24"/>
        <v>0</v>
      </c>
      <c r="AV41" s="22">
        <f t="shared" si="0"/>
        <v>0</v>
      </c>
      <c r="AX41" s="34">
        <f t="shared" si="25"/>
        <v>0</v>
      </c>
      <c r="AY41" s="22">
        <f t="shared" si="1"/>
        <v>0</v>
      </c>
      <c r="BA41" s="34">
        <f t="shared" si="26"/>
        <v>0</v>
      </c>
      <c r="BB41" s="22">
        <f t="shared" si="39"/>
        <v>0</v>
      </c>
      <c r="BD41" s="22">
        <f t="shared" si="40"/>
        <v>39.68</v>
      </c>
      <c r="BE41" s="7"/>
      <c r="BF41" s="22">
        <f t="shared" si="2"/>
        <v>5528.296693585613</v>
      </c>
      <c r="BH41" s="22">
        <f t="shared" si="41"/>
        <v>26626.98017632206</v>
      </c>
      <c r="BJ41" s="22">
        <f t="shared" si="3"/>
        <v>19442.158936891385</v>
      </c>
      <c r="BL41" s="22">
        <f t="shared" si="42"/>
        <v>1.2878753664642395</v>
      </c>
      <c r="BN41" s="7">
        <f>+'Almonds Margin - Baseline'!BN39</f>
        <v>366.95269616232036</v>
      </c>
      <c r="BO41" s="7">
        <f>+'Almonds Margin - Baseline'!BO39</f>
        <v>413.7956670422767</v>
      </c>
      <c r="BP41" s="7">
        <v>74.625447083007742</v>
      </c>
      <c r="BQ41" s="7">
        <v>107.58513225901996</v>
      </c>
    </row>
    <row r="42" spans="1:73" x14ac:dyDescent="0.2">
      <c r="A42" s="8"/>
      <c r="D42" s="37"/>
    </row>
    <row r="43" spans="1:73" x14ac:dyDescent="0.2">
      <c r="D43" s="16"/>
    </row>
    <row r="46" spans="1:73" x14ac:dyDescent="0.2">
      <c r="BU46" t="s">
        <v>57</v>
      </c>
    </row>
  </sheetData>
  <mergeCells count="52">
    <mergeCell ref="BN6:BQ6"/>
    <mergeCell ref="AY5:AY6"/>
    <mergeCell ref="BA5:BA6"/>
    <mergeCell ref="BB5:BB6"/>
    <mergeCell ref="BH5:BH6"/>
    <mergeCell ref="BJ5:BJ6"/>
    <mergeCell ref="BL5:BL6"/>
    <mergeCell ref="AC5:AC6"/>
    <mergeCell ref="AX5:AX6"/>
    <mergeCell ref="AI5:AI6"/>
    <mergeCell ref="AJ5:AJ6"/>
    <mergeCell ref="AK5:AK6"/>
    <mergeCell ref="AM5:AM6"/>
    <mergeCell ref="AN5:AN6"/>
    <mergeCell ref="AO5:AO6"/>
    <mergeCell ref="AQ5:AQ6"/>
    <mergeCell ref="AR5:AR6"/>
    <mergeCell ref="AS5:AS6"/>
    <mergeCell ref="AU5:AU6"/>
    <mergeCell ref="AV5:AV6"/>
    <mergeCell ref="H5:H6"/>
    <mergeCell ref="I5:I6"/>
    <mergeCell ref="J5:J6"/>
    <mergeCell ref="L5:L6"/>
    <mergeCell ref="M5:M6"/>
    <mergeCell ref="N5:N6"/>
    <mergeCell ref="AI4:AK4"/>
    <mergeCell ref="AM4:AO4"/>
    <mergeCell ref="AQ4:AS4"/>
    <mergeCell ref="AU4:AV4"/>
    <mergeCell ref="AE5:AG5"/>
    <mergeCell ref="P5:P6"/>
    <mergeCell ref="Q5:Q6"/>
    <mergeCell ref="R5:R6"/>
    <mergeCell ref="T5:T6"/>
    <mergeCell ref="U5:U6"/>
    <mergeCell ref="V5:V6"/>
    <mergeCell ref="X5:X6"/>
    <mergeCell ref="Y5:Y6"/>
    <mergeCell ref="Z5:Z6"/>
    <mergeCell ref="AB5:AB6"/>
    <mergeCell ref="AX4:AY4"/>
    <mergeCell ref="BA4:BB4"/>
    <mergeCell ref="B3:F3"/>
    <mergeCell ref="BN3:BQ3"/>
    <mergeCell ref="H4:J4"/>
    <mergeCell ref="L4:N4"/>
    <mergeCell ref="P4:R4"/>
    <mergeCell ref="T4:V4"/>
    <mergeCell ref="X4:Z4"/>
    <mergeCell ref="AB4:AC4"/>
    <mergeCell ref="AE4:AG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A1:BZ43"/>
  <sheetViews>
    <sheetView topLeftCell="AV1" workbookViewId="0">
      <selection activeCell="BU8" sqref="BU8"/>
    </sheetView>
  </sheetViews>
  <sheetFormatPr baseColWidth="10" defaultColWidth="8.83203125" defaultRowHeight="15" x14ac:dyDescent="0.2"/>
  <cols>
    <col min="2" max="2" width="16.1640625" bestFit="1" customWidth="1"/>
    <col min="3" max="5" width="11.1640625" customWidth="1"/>
    <col min="6" max="6" width="0.6640625" customWidth="1"/>
    <col min="7" max="7" width="11.33203125" bestFit="1" customWidth="1"/>
    <col min="8" max="8" width="11.33203125" customWidth="1"/>
    <col min="9" max="9" width="0.83203125" customWidth="1"/>
    <col min="10" max="11" width="14.6640625" customWidth="1"/>
    <col min="12" max="12" width="5.5" customWidth="1"/>
    <col min="13" max="13" width="8.6640625" customWidth="1"/>
    <col min="14" max="14" width="9.83203125" customWidth="1"/>
    <col min="15" max="15" width="9.5" customWidth="1"/>
    <col min="16" max="16" width="0.83203125" customWidth="1"/>
    <col min="17" max="17" width="12.5" customWidth="1"/>
    <col min="18" max="18" width="10.1640625" customWidth="1"/>
    <col min="20" max="20" width="0.83203125" customWidth="1"/>
    <col min="21" max="21" width="12.5" customWidth="1"/>
    <col min="22" max="23" width="9.6640625" customWidth="1"/>
    <col min="24" max="24" width="0.83203125" customWidth="1"/>
    <col min="25" max="25" width="12.5" customWidth="1"/>
    <col min="26" max="26" width="9.6640625" customWidth="1"/>
    <col min="28" max="28" width="0.83203125" customWidth="1"/>
    <col min="29" max="29" width="12.5" customWidth="1"/>
    <col min="30" max="30" width="10.5" customWidth="1"/>
    <col min="32" max="32" width="0.83203125" customWidth="1"/>
    <col min="33" max="33" width="13.5" customWidth="1"/>
    <col min="34" max="34" width="10.1640625" customWidth="1"/>
    <col min="35" max="35" width="0.83203125" customWidth="1"/>
    <col min="36" max="36" width="12.6640625" bestFit="1" customWidth="1"/>
    <col min="38" max="38" width="14.83203125" customWidth="1"/>
    <col min="39" max="39" width="0.83203125" customWidth="1"/>
    <col min="40" max="41" width="9.6640625" customWidth="1"/>
    <col min="42" max="42" width="10" customWidth="1"/>
    <col min="43" max="43" width="0.83203125" customWidth="1"/>
    <col min="44" max="44" width="11.1640625" customWidth="1"/>
    <col min="45" max="46" width="10" customWidth="1"/>
    <col min="47" max="47" width="0.83203125" customWidth="1"/>
    <col min="48" max="50" width="9.6640625" customWidth="1"/>
    <col min="51" max="51" width="0.83203125" customWidth="1"/>
    <col min="52" max="53" width="12.6640625" customWidth="1"/>
    <col min="54" max="54" width="0.83203125" customWidth="1"/>
    <col min="55" max="56" width="12.6640625" customWidth="1"/>
    <col min="57" max="57" width="0.83203125" customWidth="1"/>
    <col min="58" max="59" width="12.6640625" customWidth="1"/>
    <col min="60" max="60" width="6.6640625" customWidth="1"/>
    <col min="61" max="61" width="12.5" bestFit="1" customWidth="1"/>
    <col min="62" max="62" width="0.83203125" customWidth="1"/>
    <col min="63" max="63" width="15.6640625" bestFit="1" customWidth="1"/>
    <col min="64" max="64" width="0.83203125" customWidth="1"/>
    <col min="65" max="65" width="12.5" bestFit="1" customWidth="1"/>
    <col min="66" max="66" width="0.83203125" customWidth="1"/>
    <col min="67" max="67" width="12.5" bestFit="1" customWidth="1"/>
    <col min="68" max="68" width="5.6640625" customWidth="1"/>
    <col min="70" max="70" width="10.1640625" customWidth="1"/>
    <col min="71" max="71" width="5.6640625" customWidth="1"/>
    <col min="72" max="72" width="8.5" customWidth="1"/>
    <col min="73" max="73" width="10.5" customWidth="1"/>
    <col min="75" max="75" width="10.6640625" customWidth="1"/>
    <col min="76" max="76" width="7.83203125" customWidth="1"/>
    <col min="77" max="77" width="10.6640625" customWidth="1"/>
    <col min="78" max="78" width="9" customWidth="1"/>
  </cols>
  <sheetData>
    <row r="1" spans="1:78" x14ac:dyDescent="0.2">
      <c r="A1" s="2" t="s">
        <v>58</v>
      </c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78" x14ac:dyDescent="0.2">
      <c r="A2" s="40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126" t="s">
        <v>46</v>
      </c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</row>
    <row r="3" spans="1:78" x14ac:dyDescent="0.2">
      <c r="B3" s="252" t="s">
        <v>0</v>
      </c>
      <c r="C3" s="252"/>
      <c r="D3" s="252"/>
      <c r="E3" s="252"/>
      <c r="F3" s="252"/>
      <c r="G3" s="252"/>
      <c r="H3" s="252"/>
      <c r="I3" s="252"/>
      <c r="J3" s="252"/>
      <c r="K3" s="50"/>
      <c r="M3" s="39" t="s">
        <v>1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Q3" s="154" t="s">
        <v>2</v>
      </c>
      <c r="BR3" s="264" t="s">
        <v>59</v>
      </c>
      <c r="BT3" s="153" t="s">
        <v>3</v>
      </c>
      <c r="BU3" s="263" t="s">
        <v>60</v>
      </c>
      <c r="BW3" s="251" t="s">
        <v>4</v>
      </c>
      <c r="BX3" s="251"/>
      <c r="BY3" s="251"/>
      <c r="BZ3" s="251"/>
    </row>
    <row r="4" spans="1:78" ht="14.5" customHeight="1" x14ac:dyDescent="0.2">
      <c r="B4" s="38" t="s">
        <v>47</v>
      </c>
      <c r="C4" s="32" t="s">
        <v>47</v>
      </c>
      <c r="D4" s="257" t="s">
        <v>61</v>
      </c>
      <c r="E4" s="257" t="s">
        <v>62</v>
      </c>
      <c r="F4" s="1"/>
      <c r="G4" s="261" t="s">
        <v>63</v>
      </c>
      <c r="H4" s="258" t="s">
        <v>64</v>
      </c>
      <c r="I4" s="3"/>
      <c r="J4" s="32" t="s">
        <v>49</v>
      </c>
      <c r="K4" s="140" t="s">
        <v>65</v>
      </c>
      <c r="M4" s="131" t="s">
        <v>10</v>
      </c>
      <c r="N4" s="131" t="s">
        <v>10</v>
      </c>
      <c r="O4" s="148" t="s">
        <v>10</v>
      </c>
      <c r="P4" s="3"/>
      <c r="Q4" s="242" t="s">
        <v>11</v>
      </c>
      <c r="R4" s="242"/>
      <c r="S4" s="242"/>
      <c r="T4" s="3"/>
      <c r="U4" s="242" t="s">
        <v>12</v>
      </c>
      <c r="V4" s="242"/>
      <c r="W4" s="242"/>
      <c r="X4" s="3"/>
      <c r="Y4" s="242" t="s">
        <v>13</v>
      </c>
      <c r="Z4" s="242"/>
      <c r="AA4" s="242"/>
      <c r="AB4" s="3"/>
      <c r="AC4" s="242" t="s">
        <v>14</v>
      </c>
      <c r="AD4" s="242"/>
      <c r="AE4" s="242"/>
      <c r="AF4" s="3"/>
      <c r="AG4" s="242" t="s">
        <v>15</v>
      </c>
      <c r="AH4" s="242"/>
      <c r="AI4" s="3"/>
      <c r="AJ4" s="242" t="s">
        <v>16</v>
      </c>
      <c r="AK4" s="242"/>
      <c r="AL4" s="242"/>
      <c r="AM4" s="12"/>
      <c r="AN4" s="131" t="s">
        <v>17</v>
      </c>
      <c r="AO4" s="131" t="s">
        <v>17</v>
      </c>
      <c r="AP4" s="148" t="s">
        <v>17</v>
      </c>
      <c r="AQ4" s="3"/>
      <c r="AR4" s="242" t="s">
        <v>18</v>
      </c>
      <c r="AS4" s="242"/>
      <c r="AT4" s="242"/>
      <c r="AU4" s="3"/>
      <c r="AV4" s="242" t="s">
        <v>19</v>
      </c>
      <c r="AW4" s="242"/>
      <c r="AX4" s="242"/>
      <c r="AY4" s="3"/>
      <c r="AZ4" s="245" t="s">
        <v>20</v>
      </c>
      <c r="BA4" s="245"/>
      <c r="BB4" s="3"/>
      <c r="BC4" s="245" t="s">
        <v>21</v>
      </c>
      <c r="BD4" s="245"/>
      <c r="BE4" s="3"/>
      <c r="BF4" s="245" t="s">
        <v>22</v>
      </c>
      <c r="BG4" s="245"/>
      <c r="BH4" s="3"/>
      <c r="BI4" s="23" t="s">
        <v>23</v>
      </c>
      <c r="BJ4" s="12"/>
      <c r="BK4" s="23" t="s">
        <v>24</v>
      </c>
      <c r="BL4" s="12"/>
      <c r="BM4" s="262" t="s">
        <v>66</v>
      </c>
      <c r="BN4" s="12"/>
      <c r="BO4" s="262" t="s">
        <v>67</v>
      </c>
      <c r="BQ4" t="s">
        <v>68</v>
      </c>
      <c r="BR4" s="264"/>
      <c r="BT4" t="s">
        <v>68</v>
      </c>
      <c r="BU4" s="263"/>
    </row>
    <row r="5" spans="1:78" ht="15" customHeight="1" x14ac:dyDescent="0.2">
      <c r="B5" s="1" t="s">
        <v>68</v>
      </c>
      <c r="C5" s="1" t="s">
        <v>68</v>
      </c>
      <c r="D5" s="257"/>
      <c r="E5" s="257"/>
      <c r="F5" s="1"/>
      <c r="G5" s="261"/>
      <c r="H5" s="258"/>
      <c r="I5" s="1"/>
      <c r="J5" t="s">
        <v>68</v>
      </c>
      <c r="K5" s="140" t="s">
        <v>69</v>
      </c>
      <c r="M5" s="258" t="s">
        <v>26</v>
      </c>
      <c r="N5" s="258" t="s">
        <v>27</v>
      </c>
      <c r="O5" s="259" t="s">
        <v>28</v>
      </c>
      <c r="P5" s="10"/>
      <c r="Q5" s="243" t="s">
        <v>29</v>
      </c>
      <c r="R5" s="243" t="s">
        <v>30</v>
      </c>
      <c r="S5" s="243" t="s">
        <v>28</v>
      </c>
      <c r="T5" s="10"/>
      <c r="U5" s="243" t="s">
        <v>29</v>
      </c>
      <c r="V5" s="243" t="s">
        <v>30</v>
      </c>
      <c r="W5" s="243" t="s">
        <v>28</v>
      </c>
      <c r="X5" s="10"/>
      <c r="Y5" s="243" t="s">
        <v>29</v>
      </c>
      <c r="Z5" s="243" t="s">
        <v>30</v>
      </c>
      <c r="AA5" s="243" t="s">
        <v>28</v>
      </c>
      <c r="AB5" s="10"/>
      <c r="AC5" s="243" t="s">
        <v>29</v>
      </c>
      <c r="AD5" s="243" t="s">
        <v>30</v>
      </c>
      <c r="AE5" s="243" t="s">
        <v>28</v>
      </c>
      <c r="AF5" s="10"/>
      <c r="AG5" s="244" t="s">
        <v>52</v>
      </c>
      <c r="AH5" s="243" t="s">
        <v>28</v>
      </c>
      <c r="AI5" s="10"/>
      <c r="AJ5" s="254" t="s">
        <v>53</v>
      </c>
      <c r="AK5" s="255"/>
      <c r="AL5" s="256"/>
      <c r="AM5" s="11"/>
      <c r="AN5" s="257" t="s">
        <v>32</v>
      </c>
      <c r="AO5" s="260" t="s">
        <v>33</v>
      </c>
      <c r="AP5" s="259" t="s">
        <v>28</v>
      </c>
      <c r="AQ5" s="10"/>
      <c r="AR5" s="241" t="s">
        <v>34</v>
      </c>
      <c r="AS5" s="247" t="s">
        <v>33</v>
      </c>
      <c r="AT5" s="243" t="s">
        <v>28</v>
      </c>
      <c r="AU5" s="10"/>
      <c r="AV5" s="241" t="s">
        <v>35</v>
      </c>
      <c r="AW5" s="247" t="s">
        <v>33</v>
      </c>
      <c r="AX5" s="243" t="s">
        <v>28</v>
      </c>
      <c r="AY5" s="10"/>
      <c r="AZ5" s="244" t="s">
        <v>52</v>
      </c>
      <c r="BA5" s="243" t="s">
        <v>28</v>
      </c>
      <c r="BB5" s="10"/>
      <c r="BC5" s="244" t="s">
        <v>52</v>
      </c>
      <c r="BD5" s="243" t="s">
        <v>28</v>
      </c>
      <c r="BE5" s="10"/>
      <c r="BF5" s="244" t="s">
        <v>52</v>
      </c>
      <c r="BG5" s="243" t="s">
        <v>28</v>
      </c>
      <c r="BH5" s="10"/>
      <c r="BI5" s="11"/>
      <c r="BJ5" s="11"/>
      <c r="BK5" s="11" t="s">
        <v>36</v>
      </c>
      <c r="BL5" s="11"/>
      <c r="BM5" s="262"/>
      <c r="BN5" s="11"/>
      <c r="BO5" s="262"/>
      <c r="BQ5" s="241" t="s">
        <v>37</v>
      </c>
      <c r="BR5" s="264"/>
      <c r="BT5" s="241" t="s">
        <v>54</v>
      </c>
      <c r="BU5" s="263"/>
      <c r="BW5" s="10" t="s">
        <v>39</v>
      </c>
      <c r="BX5" s="10" t="s">
        <v>40</v>
      </c>
      <c r="BY5" s="10" t="s">
        <v>41</v>
      </c>
      <c r="BZ5" t="s">
        <v>10</v>
      </c>
    </row>
    <row r="6" spans="1:78" ht="16" x14ac:dyDescent="0.2">
      <c r="B6" s="1" t="s">
        <v>70</v>
      </c>
      <c r="C6" s="1" t="s">
        <v>55</v>
      </c>
      <c r="D6" s="257"/>
      <c r="E6" s="257"/>
      <c r="F6" s="1"/>
      <c r="G6" s="261"/>
      <c r="H6" s="258"/>
      <c r="I6" s="1"/>
      <c r="J6" s="24" t="s">
        <v>37</v>
      </c>
      <c r="K6" s="137" t="s">
        <v>37</v>
      </c>
      <c r="M6" s="258"/>
      <c r="N6" s="258"/>
      <c r="O6" s="259"/>
      <c r="P6" s="10"/>
      <c r="Q6" s="243"/>
      <c r="R6" s="243"/>
      <c r="S6" s="243"/>
      <c r="T6" s="10"/>
      <c r="U6" s="243"/>
      <c r="V6" s="243"/>
      <c r="W6" s="243"/>
      <c r="X6" s="10"/>
      <c r="Y6" s="243"/>
      <c r="Z6" s="243"/>
      <c r="AA6" s="243"/>
      <c r="AB6" s="10"/>
      <c r="AC6" s="243"/>
      <c r="AD6" s="243"/>
      <c r="AE6" s="243"/>
      <c r="AF6" s="10"/>
      <c r="AG6" s="244"/>
      <c r="AH6" s="243"/>
      <c r="AI6" s="10"/>
      <c r="AJ6" s="18" t="s">
        <v>35</v>
      </c>
      <c r="AK6" s="18" t="s">
        <v>33</v>
      </c>
      <c r="AL6" s="19" t="s">
        <v>28</v>
      </c>
      <c r="AM6" s="11"/>
      <c r="AN6" s="257"/>
      <c r="AO6" s="260"/>
      <c r="AP6" s="259"/>
      <c r="AQ6" s="10"/>
      <c r="AR6" s="241"/>
      <c r="AS6" s="247"/>
      <c r="AT6" s="243"/>
      <c r="AU6" s="10"/>
      <c r="AV6" s="241"/>
      <c r="AW6" s="247"/>
      <c r="AX6" s="243"/>
      <c r="AY6" s="10"/>
      <c r="AZ6" s="244"/>
      <c r="BA6" s="243"/>
      <c r="BB6" s="10"/>
      <c r="BC6" s="244"/>
      <c r="BD6" s="243"/>
      <c r="BE6" s="10"/>
      <c r="BF6" s="244"/>
      <c r="BG6" s="243"/>
      <c r="BH6" s="10"/>
      <c r="BI6" s="11" t="s">
        <v>42</v>
      </c>
      <c r="BJ6" s="11"/>
      <c r="BK6" s="33">
        <v>0.12</v>
      </c>
      <c r="BL6" s="11"/>
      <c r="BM6" s="262"/>
      <c r="BN6" s="11"/>
      <c r="BO6" s="262"/>
      <c r="BQ6" s="241"/>
      <c r="BR6" s="264"/>
      <c r="BT6" s="241"/>
      <c r="BU6" s="263"/>
      <c r="BW6" s="249" t="s">
        <v>43</v>
      </c>
      <c r="BX6" s="249"/>
      <c r="BY6" s="249"/>
      <c r="BZ6" s="249"/>
    </row>
    <row r="7" spans="1:78" x14ac:dyDescent="0.2">
      <c r="A7">
        <v>2021</v>
      </c>
      <c r="B7" s="25">
        <f>'Almonds Margin - Baseline'!B5</f>
        <v>6500</v>
      </c>
      <c r="C7" s="121">
        <f>B7/1000</f>
        <v>6.5</v>
      </c>
      <c r="D7" s="150">
        <f>IF(Almonds!C10="Tonne",Almonds!E10,Almonds!E10*1000)</f>
        <v>6500</v>
      </c>
      <c r="E7" s="150">
        <f>Almonds!D11</f>
        <v>0</v>
      </c>
      <c r="F7" s="121"/>
      <c r="G7" s="156">
        <f>+'Almonds Margin - Baseline'!D5</f>
        <v>2.48</v>
      </c>
      <c r="H7" s="159">
        <f>IF(Almonds!C10="Tonne",Almonds!D10,Almonds!D10/1000)</f>
        <v>2.48</v>
      </c>
      <c r="J7" s="20">
        <f t="shared" ref="J7:J41" si="0">+G7*B7</f>
        <v>16120</v>
      </c>
      <c r="K7" s="138">
        <f t="shared" ref="K7:K41" si="1">D7*G7</f>
        <v>16120</v>
      </c>
      <c r="L7" s="35"/>
      <c r="M7" s="160">
        <f>Almonds!D15</f>
        <v>557.54999999999995</v>
      </c>
      <c r="N7" s="134">
        <f>Almonds!E15</f>
        <v>5.44</v>
      </c>
      <c r="O7" s="151">
        <f>+M7*N7</f>
        <v>3033.0720000000001</v>
      </c>
      <c r="Q7" s="27">
        <f>+'Almonds Margin - Baseline'!L5</f>
        <v>5</v>
      </c>
      <c r="R7" s="45">
        <f>+'Almonds Margin - Baseline'!M5</f>
        <v>26.64</v>
      </c>
      <c r="S7" s="6">
        <f>+Q7*R7</f>
        <v>133.19999999999999</v>
      </c>
      <c r="U7" s="27">
        <f>+'Almonds Margin - Baseline'!P5</f>
        <v>4</v>
      </c>
      <c r="V7" s="45">
        <f>+'Almonds Margin - Baseline'!Q5</f>
        <v>36.46</v>
      </c>
      <c r="W7" s="6">
        <f>+U7*V7</f>
        <v>145.84</v>
      </c>
      <c r="Y7" s="27">
        <f>+'Almonds Margin - Baseline'!T5</f>
        <v>2</v>
      </c>
      <c r="Z7" s="45">
        <f>+'Almonds Margin - Baseline'!U5</f>
        <v>17.05</v>
      </c>
      <c r="AA7" s="21">
        <f>+Y7*Z7</f>
        <v>34.1</v>
      </c>
      <c r="AB7" s="21"/>
      <c r="AC7" s="27">
        <f>+'Almonds Margin - Baseline'!X5</f>
        <v>0</v>
      </c>
      <c r="AD7" s="45">
        <f>+'Almonds Margin - Baseline'!Y5</f>
        <v>0</v>
      </c>
      <c r="AE7" s="21">
        <f>+AC7*AD7</f>
        <v>0</v>
      </c>
      <c r="AG7" s="27">
        <f>+'Almonds Margin - Baseline'!AB5</f>
        <v>3</v>
      </c>
      <c r="AH7" s="21">
        <f t="shared" ref="AH7:AH41" si="2">+AG7*G7</f>
        <v>7.4399999999999995</v>
      </c>
      <c r="AI7" s="43">
        <f>+'Almonds Margin - Baseline'!AD5</f>
        <v>0</v>
      </c>
      <c r="AJ7" s="45">
        <f>+'Almonds Margin - Baseline'!AE5</f>
        <v>75.84</v>
      </c>
      <c r="AK7" s="45">
        <f>+'Almonds Margin - Baseline'!AF5</f>
        <v>85</v>
      </c>
      <c r="AL7" s="21">
        <f>+AJ7*AK7</f>
        <v>6446.4000000000005</v>
      </c>
      <c r="AN7" s="161">
        <f>Almonds!D16</f>
        <v>14</v>
      </c>
      <c r="AO7" s="152">
        <f>Almonds!E16</f>
        <v>99</v>
      </c>
      <c r="AP7" s="147">
        <f>+AN7*AO7</f>
        <v>1386</v>
      </c>
      <c r="AQ7" s="21"/>
      <c r="AR7" s="27">
        <f>+'Almonds Margin - Baseline'!AM5</f>
        <v>5</v>
      </c>
      <c r="AS7" s="45">
        <f>+'Almonds Margin - Baseline'!AN5</f>
        <v>180</v>
      </c>
      <c r="AT7" s="21">
        <f>+AR7*AS7</f>
        <v>900</v>
      </c>
      <c r="AV7" s="45">
        <f>+'Almonds Margin - Baseline'!AQ5</f>
        <v>0</v>
      </c>
      <c r="AW7" s="45">
        <f>+'Almonds Margin - Baseline'!AR5</f>
        <v>0</v>
      </c>
      <c r="AX7" s="21">
        <f>+AV7*AW7</f>
        <v>0</v>
      </c>
      <c r="AZ7" s="41">
        <f>+'Almonds Margin - Baseline'!AU5</f>
        <v>0</v>
      </c>
      <c r="BA7" s="21">
        <f t="shared" ref="BA7:BA41" si="3">+AZ7*G7</f>
        <v>0</v>
      </c>
      <c r="BC7" s="41">
        <f>+'Almonds Margin - Baseline'!AX5</f>
        <v>0</v>
      </c>
      <c r="BD7" s="21">
        <f t="shared" ref="BD7:BD41" si="4">+BC7*G7</f>
        <v>0</v>
      </c>
      <c r="BF7" s="41">
        <f>+'Almonds Margin - Baseline'!BA5</f>
        <v>0</v>
      </c>
      <c r="BG7" s="21">
        <f t="shared" ref="BG7:BG41" si="5">+BF7*G7</f>
        <v>0</v>
      </c>
      <c r="BI7" s="45">
        <f t="shared" ref="BI7:BI41" si="6">0.016*(G7*1000)</f>
        <v>39.68</v>
      </c>
      <c r="BJ7" s="6"/>
      <c r="BK7" s="21">
        <f t="shared" ref="BK7:BK41" si="7">0.12*J7</f>
        <v>1934.3999999999999</v>
      </c>
      <c r="BM7" s="139" t="str">
        <f>IF(Almonds!$D$18&lt;0,(+S7+W7+AA7+AE7+AH7+AL7+AT7+AX7+BA7+BD7+BG7+BI7+BK7)*Almonds!$D$18/100,IF(Almonds!$D$18&gt;0,(+S7+W7+AA7+AE7+AH7+AL7+AT7+AX7+BA7+BD7+BG7+BI7+BK7)*Almonds!$D$18/100,""))</f>
        <v/>
      </c>
      <c r="BO7" s="139">
        <f>+O7+S7+W7+AA7+AE7+AH7+AL7+AP7+AT7+AX7+BA7+BD7+BG7+BI7+BK7+IF(BM7="",0,BM7)</f>
        <v>14060.132</v>
      </c>
      <c r="BQ7" s="21">
        <f t="shared" ref="BQ7:BQ41" si="8">+J7-BO7</f>
        <v>2059.8680000000004</v>
      </c>
      <c r="BR7" s="139">
        <f t="shared" ref="BR7:BR41" si="9">K7-BO7</f>
        <v>2059.8680000000004</v>
      </c>
      <c r="BT7" s="162">
        <f>(O7+S7+W7+AA7+AE7+AL7+AP7+AT7+AX7)/((D7-AH7-BA7))</f>
        <v>1.8603774166122455</v>
      </c>
      <c r="BU7" s="163">
        <f>(O7+S7+W7+AA7+AE7+AL7+AP7+AT7+AX7+IF(BM7="",0,BM7))/((D7-AH7-BA7))</f>
        <v>1.8603774166122455</v>
      </c>
      <c r="BW7" s="45">
        <f>+'Almonds Margin - Baseline'!BN5</f>
        <v>128.4</v>
      </c>
      <c r="BX7" s="45">
        <f>+'Almonds Margin - Baseline'!BO5</f>
        <v>141.80000000000001</v>
      </c>
      <c r="BY7" s="45">
        <f>+'Almonds Margin - Baseline'!BP5</f>
        <v>125.25</v>
      </c>
      <c r="BZ7" s="45">
        <f>+'Almonds Margin - Baseline'!BQ5</f>
        <v>99.691915734713831</v>
      </c>
    </row>
    <row r="8" spans="1:78" x14ac:dyDescent="0.2">
      <c r="A8" s="8">
        <f t="shared" ref="A8:A41" si="10">+A7+1</f>
        <v>2022</v>
      </c>
      <c r="B8" s="34">
        <f t="shared" ref="B8:B41" si="11">+B7*BW8/BW7</f>
        <v>6595.1713395638626</v>
      </c>
      <c r="C8" s="122">
        <f>B8/1000</f>
        <v>6.5951713395638629</v>
      </c>
      <c r="D8" s="122">
        <f t="shared" ref="D8:D41" si="12">D7*BW8/BW7</f>
        <v>6595.1713395638626</v>
      </c>
      <c r="E8" s="121">
        <f t="shared" ref="E8:E41" si="13">D8/1000</f>
        <v>6.5951713395638629</v>
      </c>
      <c r="F8" s="122"/>
      <c r="G8" s="157">
        <f>$G$7</f>
        <v>2.48</v>
      </c>
      <c r="H8" s="155">
        <f>$H$7</f>
        <v>2.48</v>
      </c>
      <c r="J8" s="22">
        <f t="shared" si="0"/>
        <v>16356.024922118379</v>
      </c>
      <c r="K8" s="22">
        <f t="shared" si="1"/>
        <v>16356.024922118379</v>
      </c>
      <c r="L8" s="35"/>
      <c r="M8" s="28">
        <f>+M7</f>
        <v>557.54999999999995</v>
      </c>
      <c r="N8" s="14">
        <f t="shared" ref="N8:N41" si="14">+N7*$BZ8/$BZ7</f>
        <v>5.4103272727272715</v>
      </c>
      <c r="O8" s="31">
        <f t="shared" ref="O8:O41" si="15">+M8*N8</f>
        <v>3016.5279709090901</v>
      </c>
      <c r="Q8" s="15">
        <f>+Q7</f>
        <v>5</v>
      </c>
      <c r="R8" s="7">
        <f t="shared" ref="R8:R41" si="16">+R7*$BZ8/$BZ7</f>
        <v>26.494690909090906</v>
      </c>
      <c r="S8" s="7">
        <f t="shared" ref="S8:S41" si="17">+Q8*R8</f>
        <v>132.47345454545453</v>
      </c>
      <c r="U8" s="15">
        <f>+U7</f>
        <v>4</v>
      </c>
      <c r="V8" s="7">
        <f t="shared" ref="V8:V41" si="18">+V7*$BZ8/$BZ7</f>
        <v>36.261127272727265</v>
      </c>
      <c r="W8" s="7">
        <f t="shared" ref="W8:W41" si="19">+U8*V8</f>
        <v>145.04450909090906</v>
      </c>
      <c r="Y8" s="15">
        <f>+Y7</f>
        <v>2</v>
      </c>
      <c r="Z8" s="7">
        <f t="shared" ref="Z8:Z41" si="20">+Z7*$BZ8/$BZ7</f>
        <v>16.956999999999997</v>
      </c>
      <c r="AA8" s="22">
        <f t="shared" ref="AA8:AA41" si="21">+Y8*Z8</f>
        <v>33.913999999999994</v>
      </c>
      <c r="AB8" s="22"/>
      <c r="AC8" s="15">
        <f>+AC7</f>
        <v>0</v>
      </c>
      <c r="AD8" s="7">
        <f t="shared" ref="AD8:AD41" si="22">+AD7*$BZ8/$BZ7</f>
        <v>0</v>
      </c>
      <c r="AE8" s="22">
        <f t="shared" ref="AE8:AE41" si="23">+AC8*AD8</f>
        <v>0</v>
      </c>
      <c r="AG8" s="15">
        <f t="shared" ref="AG8:AG41" si="24">+AG7*(0.5*$BX8/$BX7+0.5*$BY8/$BY7)</f>
        <v>3.0960000000000001</v>
      </c>
      <c r="AH8" s="22">
        <f t="shared" si="2"/>
        <v>7.6780800000000005</v>
      </c>
      <c r="AJ8" s="7">
        <f>+AJ7</f>
        <v>75.84</v>
      </c>
      <c r="AK8" s="7">
        <f t="shared" ref="AK8:AK41" si="25">+AK7*(0.5*$BX8/$BX7+0.5*$BY8/$BY7)</f>
        <v>87.72</v>
      </c>
      <c r="AL8" s="22">
        <f t="shared" ref="AL8:AL41" si="26">+AJ8*AK8</f>
        <v>6652.6848</v>
      </c>
      <c r="AN8" s="15">
        <f>+AN7</f>
        <v>14</v>
      </c>
      <c r="AO8" s="7">
        <f t="shared" ref="AO8:AO41" si="27">+AO7*$BW8/$BW7</f>
        <v>100.44953271028037</v>
      </c>
      <c r="AP8" s="22">
        <f t="shared" ref="AP8:AP41" si="28">+AN8*AO8</f>
        <v>1406.2934579439252</v>
      </c>
      <c r="AQ8" s="22"/>
      <c r="AR8" s="15">
        <f>+AR7</f>
        <v>5</v>
      </c>
      <c r="AS8" s="7">
        <f t="shared" ref="AS8:AS41" si="29">+AS7*$BW8/$BW7</f>
        <v>182.63551401869159</v>
      </c>
      <c r="AT8" s="22">
        <f t="shared" ref="AT8:AT41" si="30">+AR8*AS8</f>
        <v>913.17757009345792</v>
      </c>
      <c r="AV8" s="7">
        <f>+AV7</f>
        <v>0</v>
      </c>
      <c r="AW8" s="7">
        <f t="shared" ref="AW8:AW41" si="31">+AW7*$BX8/$BX7</f>
        <v>0</v>
      </c>
      <c r="AX8" s="22">
        <f>+AV8*AW8</f>
        <v>0</v>
      </c>
      <c r="AZ8" s="34">
        <f t="shared" ref="AZ8:AZ41" si="32">+AZ7*$BW8/$BW7</f>
        <v>0</v>
      </c>
      <c r="BA8" s="22">
        <f t="shared" si="3"/>
        <v>0</v>
      </c>
      <c r="BC8" s="34">
        <f t="shared" ref="BC8:BC41" si="33">+BC7*$BW8/$BW7</f>
        <v>0</v>
      </c>
      <c r="BD8" s="22">
        <f t="shared" si="4"/>
        <v>0</v>
      </c>
      <c r="BF8" s="34">
        <f t="shared" ref="BF8:BF41" si="34">+BF7*$BW8/$BW7</f>
        <v>0</v>
      </c>
      <c r="BG8" s="22">
        <f t="shared" si="5"/>
        <v>0</v>
      </c>
      <c r="BI8" s="22">
        <f t="shared" si="6"/>
        <v>39.68</v>
      </c>
      <c r="BJ8" s="7"/>
      <c r="BK8" s="22">
        <f t="shared" si="7"/>
        <v>1962.7229906542054</v>
      </c>
      <c r="BM8" s="22" t="str">
        <f>IF(Almonds!$D$18&lt;0,(+S8+W8+AA8+AE8+AH8+AL8+AT8+AX8+BA8+BD8+BG8+BI8+BK8)*Almonds!$D$18/100,IF(Almonds!$D$18&gt;0,(+S8+W8+AA8+AE8+AH8+AL8+AT8+AX8+BA8+BD8+BG8+BI8+BK8)*Almonds!$D$18/100,""))</f>
        <v/>
      </c>
      <c r="BO8" s="22">
        <f t="shared" ref="BO8:BO41" si="35">+O8+S8+W8+AA8+AE8+AH8+AL8+AP8+AT8+AX8+BA8+BD8+BG8+BI8+BK8+IF(BM8="",0,BM8)</f>
        <v>14310.196833237043</v>
      </c>
      <c r="BQ8" s="22">
        <f t="shared" si="8"/>
        <v>2045.8280888813351</v>
      </c>
      <c r="BR8" s="22">
        <f t="shared" si="9"/>
        <v>2045.8280888813351</v>
      </c>
      <c r="BT8" s="162">
        <f t="shared" ref="BT8:BT41" si="36">(O8+S8+W8+AA8+AE8+AL8+AP8+AT8+AX8)/((D8-AH8-BA8))</f>
        <v>1.8671921591305261</v>
      </c>
      <c r="BU8" s="163">
        <f t="shared" ref="BU8:BU41" si="37">(O8+S8+W8+AA8+AE8+AL8+AP8+AT8+AX8)/((D8-AH8-BA8))</f>
        <v>1.8671921591305261</v>
      </c>
      <c r="BW8" s="7">
        <f>+'Almonds Margin - Baseline'!BN6</f>
        <v>130.28</v>
      </c>
      <c r="BX8" s="7">
        <f>+'Almonds Margin - Baseline'!BO6</f>
        <v>146.33760000000001</v>
      </c>
      <c r="BY8" s="7">
        <f>+'Almonds Margin - Baseline'!BP6</f>
        <v>129.25800000000001</v>
      </c>
      <c r="BZ8" s="7">
        <f>+'Almonds Margin - Baseline'!BQ6</f>
        <v>99.1481416488881</v>
      </c>
    </row>
    <row r="9" spans="1:78" x14ac:dyDescent="0.2">
      <c r="A9" s="8">
        <f t="shared" si="10"/>
        <v>2023</v>
      </c>
      <c r="B9" s="34">
        <f t="shared" si="11"/>
        <v>6826.0124610591902</v>
      </c>
      <c r="C9" s="122">
        <f>B9/1000</f>
        <v>6.8260124610591904</v>
      </c>
      <c r="D9" s="122">
        <f t="shared" si="12"/>
        <v>6826.0124610591902</v>
      </c>
      <c r="E9" s="121">
        <f t="shared" si="13"/>
        <v>6.8260124610591904</v>
      </c>
      <c r="F9" s="122"/>
      <c r="G9" s="157">
        <f t="shared" ref="G9:G41" si="38">$G$7</f>
        <v>2.48</v>
      </c>
      <c r="H9" s="155">
        <f t="shared" ref="H9:H41" si="39">$H$7</f>
        <v>2.48</v>
      </c>
      <c r="J9" s="22">
        <f t="shared" si="0"/>
        <v>16928.510903426792</v>
      </c>
      <c r="K9" s="22">
        <f t="shared" si="1"/>
        <v>16928.510903426792</v>
      </c>
      <c r="L9" s="35"/>
      <c r="M9" s="28">
        <f t="shared" ref="M9:M41" si="40">+M8</f>
        <v>557.54999999999995</v>
      </c>
      <c r="N9" s="14">
        <f t="shared" si="14"/>
        <v>5.4704027709909537</v>
      </c>
      <c r="O9" s="31">
        <f t="shared" si="15"/>
        <v>3050.0230649660061</v>
      </c>
      <c r="Q9" s="15">
        <f t="shared" ref="Q9:Q41" si="41">+Q8</f>
        <v>5</v>
      </c>
      <c r="R9" s="7">
        <f t="shared" si="16"/>
        <v>26.788884157940998</v>
      </c>
      <c r="S9" s="7">
        <f t="shared" si="17"/>
        <v>133.94442078970499</v>
      </c>
      <c r="U9" s="15">
        <f t="shared" ref="U9:U41" si="42">+U8</f>
        <v>4</v>
      </c>
      <c r="V9" s="7">
        <f t="shared" si="18"/>
        <v>36.663765630575398</v>
      </c>
      <c r="W9" s="7">
        <f t="shared" si="19"/>
        <v>146.65506252230159</v>
      </c>
      <c r="Y9" s="15">
        <f t="shared" ref="Y9:Y41" si="43">+Y8</f>
        <v>2</v>
      </c>
      <c r="Z9" s="7">
        <f t="shared" si="20"/>
        <v>17.145288096580106</v>
      </c>
      <c r="AA9" s="22">
        <f t="shared" si="21"/>
        <v>34.290576193160213</v>
      </c>
      <c r="AB9" s="22"/>
      <c r="AC9" s="15">
        <f t="shared" ref="AC9:AC41" si="44">+AC8</f>
        <v>0</v>
      </c>
      <c r="AD9" s="7">
        <f t="shared" si="22"/>
        <v>0</v>
      </c>
      <c r="AE9" s="22">
        <f t="shared" si="23"/>
        <v>0</v>
      </c>
      <c r="AG9" s="15">
        <f t="shared" si="24"/>
        <v>3.1950720000000001</v>
      </c>
      <c r="AH9" s="22">
        <f t="shared" si="2"/>
        <v>7.9237785600000006</v>
      </c>
      <c r="AJ9" s="7">
        <f t="shared" ref="AJ9:AJ41" si="45">+AJ8</f>
        <v>75.84</v>
      </c>
      <c r="AK9" s="7">
        <f t="shared" si="25"/>
        <v>90.52704</v>
      </c>
      <c r="AL9" s="22">
        <f t="shared" si="26"/>
        <v>6865.5707136000001</v>
      </c>
      <c r="AN9" s="15">
        <f t="shared" ref="AN9:AN41" si="46">+AN8</f>
        <v>14</v>
      </c>
      <c r="AO9" s="7">
        <f t="shared" si="27"/>
        <v>103.96542056074766</v>
      </c>
      <c r="AP9" s="22">
        <f t="shared" si="28"/>
        <v>1455.5158878504672</v>
      </c>
      <c r="AQ9" s="22"/>
      <c r="AR9" s="15">
        <f t="shared" ref="AR9:AR41" si="47">+AR8</f>
        <v>5</v>
      </c>
      <c r="AS9" s="7">
        <f t="shared" si="29"/>
        <v>189.02803738317758</v>
      </c>
      <c r="AT9" s="22">
        <f t="shared" si="30"/>
        <v>945.14018691588785</v>
      </c>
      <c r="AV9" s="7">
        <f t="shared" ref="AV9:AV41" si="48">+AV8</f>
        <v>0</v>
      </c>
      <c r="AW9" s="7">
        <f t="shared" si="31"/>
        <v>0</v>
      </c>
      <c r="AX9" s="22">
        <f t="shared" ref="AX9:AX41" si="49">+AV9*AW9</f>
        <v>0</v>
      </c>
      <c r="AZ9" s="34">
        <f t="shared" si="32"/>
        <v>0</v>
      </c>
      <c r="BA9" s="22">
        <f t="shared" si="3"/>
        <v>0</v>
      </c>
      <c r="BC9" s="34">
        <f t="shared" si="33"/>
        <v>0</v>
      </c>
      <c r="BD9" s="22">
        <f t="shared" si="4"/>
        <v>0</v>
      </c>
      <c r="BF9" s="34">
        <f t="shared" si="34"/>
        <v>0</v>
      </c>
      <c r="BG9" s="22">
        <f t="shared" si="5"/>
        <v>0</v>
      </c>
      <c r="BI9" s="22">
        <f t="shared" si="6"/>
        <v>39.68</v>
      </c>
      <c r="BJ9" s="7"/>
      <c r="BK9" s="22">
        <f t="shared" si="7"/>
        <v>2031.421308411215</v>
      </c>
      <c r="BM9" s="22" t="str">
        <f>IF(Almonds!$D$18&lt;0,(+S9+W9+AA9+AE9+AH9+AL9+AT9+AX9+BA9+BD9+BG9+BI9+BK9)*Almonds!$D$18/100,IF(Almonds!$D$18&gt;0,(+S9+W9+AA9+AE9+AH9+AL9+AT9+AX9+BA9+BD9+BG9+BI9+BK9)*Almonds!$D$18/100,""))</f>
        <v/>
      </c>
      <c r="BO9" s="22">
        <f t="shared" si="35"/>
        <v>14710.164999808743</v>
      </c>
      <c r="BQ9" s="22">
        <f t="shared" si="8"/>
        <v>2218.3459036180484</v>
      </c>
      <c r="BR9" s="22">
        <f t="shared" si="9"/>
        <v>2218.3459036180484</v>
      </c>
      <c r="BT9" s="162">
        <f t="shared" si="36"/>
        <v>1.8525924934445919</v>
      </c>
      <c r="BU9" s="163">
        <f t="shared" si="37"/>
        <v>1.8525924934445919</v>
      </c>
      <c r="BW9" s="7">
        <f>+'Almonds Margin - Baseline'!BN7</f>
        <v>134.84</v>
      </c>
      <c r="BX9" s="7">
        <f>+'Almonds Margin - Baseline'!BO7</f>
        <v>151.0204032</v>
      </c>
      <c r="BY9" s="7">
        <f>+'Almonds Margin - Baseline'!BP7</f>
        <v>133.39425600000001</v>
      </c>
      <c r="BZ9" s="7">
        <f>+'Almonds Margin - Baseline'!BQ7</f>
        <v>100.24906839716456</v>
      </c>
    </row>
    <row r="10" spans="1:78" x14ac:dyDescent="0.2">
      <c r="A10" s="8">
        <f t="shared" si="10"/>
        <v>2024</v>
      </c>
      <c r="B10" s="34">
        <f t="shared" si="11"/>
        <v>6996.6121495327106</v>
      </c>
      <c r="C10" s="122">
        <f t="shared" ref="C10:C41" si="50">B10/1000</f>
        <v>6.9966121495327105</v>
      </c>
      <c r="D10" s="122">
        <f t="shared" si="12"/>
        <v>6996.6121495327106</v>
      </c>
      <c r="E10" s="121">
        <f t="shared" si="13"/>
        <v>6.9966121495327105</v>
      </c>
      <c r="F10" s="122"/>
      <c r="G10" s="157">
        <f t="shared" si="38"/>
        <v>2.48</v>
      </c>
      <c r="H10" s="155">
        <f t="shared" si="39"/>
        <v>2.48</v>
      </c>
      <c r="J10" s="22">
        <f t="shared" si="0"/>
        <v>17351.598130841121</v>
      </c>
      <c r="K10" s="20">
        <f t="shared" si="1"/>
        <v>17351.598130841121</v>
      </c>
      <c r="L10" s="35"/>
      <c r="M10" s="28">
        <f t="shared" si="40"/>
        <v>557.54999999999995</v>
      </c>
      <c r="N10" s="14">
        <f t="shared" si="14"/>
        <v>5.634273090541229</v>
      </c>
      <c r="O10" s="31">
        <f t="shared" si="15"/>
        <v>3141.3889616312622</v>
      </c>
      <c r="Q10" s="15">
        <f t="shared" si="41"/>
        <v>5</v>
      </c>
      <c r="R10" s="7">
        <f t="shared" si="16"/>
        <v>27.591366752209257</v>
      </c>
      <c r="S10" s="7">
        <f t="shared" si="17"/>
        <v>137.95683376104628</v>
      </c>
      <c r="U10" s="15">
        <f t="shared" si="42"/>
        <v>4</v>
      </c>
      <c r="V10" s="7">
        <f t="shared" si="18"/>
        <v>37.762058250208312</v>
      </c>
      <c r="W10" s="7">
        <f t="shared" si="19"/>
        <v>151.04823300083325</v>
      </c>
      <c r="Y10" s="15">
        <f t="shared" si="43"/>
        <v>2</v>
      </c>
      <c r="Z10" s="7">
        <f t="shared" si="20"/>
        <v>17.658889006199995</v>
      </c>
      <c r="AA10" s="22">
        <f t="shared" si="21"/>
        <v>35.317778012399991</v>
      </c>
      <c r="AB10" s="22"/>
      <c r="AC10" s="15">
        <f t="shared" si="44"/>
        <v>0</v>
      </c>
      <c r="AD10" s="7">
        <f t="shared" si="22"/>
        <v>0</v>
      </c>
      <c r="AE10" s="22">
        <f t="shared" si="23"/>
        <v>0</v>
      </c>
      <c r="AG10" s="15">
        <f t="shared" si="24"/>
        <v>3.2973143040000004</v>
      </c>
      <c r="AH10" s="22">
        <f t="shared" si="2"/>
        <v>8.17733947392</v>
      </c>
      <c r="AJ10" s="7">
        <f t="shared" si="45"/>
        <v>75.84</v>
      </c>
      <c r="AK10" s="7">
        <f t="shared" si="25"/>
        <v>93.42390528</v>
      </c>
      <c r="AL10" s="22">
        <f t="shared" si="26"/>
        <v>7085.2689764351999</v>
      </c>
      <c r="AN10" s="15">
        <f t="shared" si="46"/>
        <v>14</v>
      </c>
      <c r="AO10" s="7">
        <f t="shared" si="27"/>
        <v>106.56378504672897</v>
      </c>
      <c r="AP10" s="22">
        <f t="shared" si="28"/>
        <v>1491.8929906542055</v>
      </c>
      <c r="AQ10" s="22"/>
      <c r="AR10" s="15">
        <f t="shared" si="47"/>
        <v>5</v>
      </c>
      <c r="AS10" s="7">
        <f t="shared" si="29"/>
        <v>193.75233644859813</v>
      </c>
      <c r="AT10" s="22">
        <f t="shared" si="30"/>
        <v>968.76168224299067</v>
      </c>
      <c r="AV10" s="7">
        <f t="shared" si="48"/>
        <v>0</v>
      </c>
      <c r="AW10" s="7">
        <f t="shared" si="31"/>
        <v>0</v>
      </c>
      <c r="AX10" s="22">
        <f t="shared" si="49"/>
        <v>0</v>
      </c>
      <c r="AZ10" s="34">
        <f t="shared" si="32"/>
        <v>0</v>
      </c>
      <c r="BA10" s="22">
        <f t="shared" si="3"/>
        <v>0</v>
      </c>
      <c r="BC10" s="34">
        <f t="shared" si="33"/>
        <v>0</v>
      </c>
      <c r="BD10" s="22">
        <f t="shared" si="4"/>
        <v>0</v>
      </c>
      <c r="BF10" s="34">
        <f t="shared" si="34"/>
        <v>0</v>
      </c>
      <c r="BG10" s="22">
        <f t="shared" si="5"/>
        <v>0</v>
      </c>
      <c r="BI10" s="22">
        <f t="shared" si="6"/>
        <v>39.68</v>
      </c>
      <c r="BJ10" s="7"/>
      <c r="BK10" s="22">
        <f t="shared" si="7"/>
        <v>2082.1917757009346</v>
      </c>
      <c r="BM10" s="22" t="str">
        <f>IF(Almonds!$D$18&lt;0,(+S10+W10+AA10+AE10+AH10+AL10+AT10+AX10+BA10+BD10+BG10+BI10+BK10)*Almonds!$D$18/100,IF(Almonds!$D$18&gt;0,(+S10+W10+AA10+AE10+AH10+AL10+AT10+AX10+BA10+BD10+BG10+BI10+BK10)*Almonds!$D$18/100,""))</f>
        <v/>
      </c>
      <c r="BO10" s="22">
        <f t="shared" si="35"/>
        <v>15141.68457091279</v>
      </c>
      <c r="BQ10" s="22">
        <f t="shared" si="8"/>
        <v>2209.9135599283309</v>
      </c>
      <c r="BR10" s="21">
        <f t="shared" si="9"/>
        <v>2209.9135599283309</v>
      </c>
      <c r="BT10" s="162">
        <f t="shared" si="36"/>
        <v>1.8618812093674628</v>
      </c>
      <c r="BU10" s="163">
        <f t="shared" si="37"/>
        <v>1.8618812093674628</v>
      </c>
      <c r="BW10" s="7">
        <f>+'Almonds Margin - Baseline'!BN8</f>
        <v>138.21</v>
      </c>
      <c r="BX10" s="7">
        <f>+'Almonds Margin - Baseline'!BO8</f>
        <v>155.85305610240002</v>
      </c>
      <c r="BY10" s="7">
        <f>+'Almonds Margin - Baseline'!BP8</f>
        <v>137.66287219200001</v>
      </c>
      <c r="BZ10" s="7">
        <f>+'Almonds Margin - Baseline'!BQ8</f>
        <v>103.25210995746359</v>
      </c>
    </row>
    <row r="11" spans="1:78" x14ac:dyDescent="0.2">
      <c r="A11" s="8">
        <f t="shared" si="10"/>
        <v>2025</v>
      </c>
      <c r="B11" s="34">
        <f t="shared" si="11"/>
        <v>7220.5037383177578</v>
      </c>
      <c r="C11" s="122">
        <f t="shared" si="50"/>
        <v>7.2205037383177579</v>
      </c>
      <c r="D11" s="122">
        <f t="shared" si="12"/>
        <v>7220.5037383177578</v>
      </c>
      <c r="E11" s="121">
        <f t="shared" si="13"/>
        <v>7.2205037383177579</v>
      </c>
      <c r="F11" s="122"/>
      <c r="G11" s="157">
        <f t="shared" si="38"/>
        <v>2.48</v>
      </c>
      <c r="H11" s="155">
        <f t="shared" si="39"/>
        <v>2.48</v>
      </c>
      <c r="J11" s="22">
        <f t="shared" si="0"/>
        <v>17906.849271028041</v>
      </c>
      <c r="K11" s="22">
        <f t="shared" si="1"/>
        <v>17906.849271028041</v>
      </c>
      <c r="L11" s="35"/>
      <c r="M11" s="28">
        <f t="shared" si="40"/>
        <v>557.54999999999995</v>
      </c>
      <c r="N11" s="14">
        <f t="shared" si="14"/>
        <v>5.7759773931594935</v>
      </c>
      <c r="O11" s="31">
        <f t="shared" si="15"/>
        <v>3220.3961955560753</v>
      </c>
      <c r="Q11" s="15">
        <f t="shared" si="41"/>
        <v>5</v>
      </c>
      <c r="R11" s="7">
        <f t="shared" si="16"/>
        <v>28.285301057678112</v>
      </c>
      <c r="S11" s="7">
        <f t="shared" si="17"/>
        <v>141.42650528839056</v>
      </c>
      <c r="U11" s="15">
        <f t="shared" si="42"/>
        <v>4</v>
      </c>
      <c r="V11" s="7">
        <f t="shared" si="18"/>
        <v>38.711789660771167</v>
      </c>
      <c r="W11" s="7">
        <f t="shared" si="19"/>
        <v>154.84715864308467</v>
      </c>
      <c r="Y11" s="15">
        <f t="shared" si="43"/>
        <v>2</v>
      </c>
      <c r="Z11" s="7">
        <f t="shared" si="20"/>
        <v>18.103017381134077</v>
      </c>
      <c r="AA11" s="22">
        <f t="shared" si="21"/>
        <v>36.206034762268153</v>
      </c>
      <c r="AB11" s="22"/>
      <c r="AC11" s="15">
        <f t="shared" si="44"/>
        <v>0</v>
      </c>
      <c r="AD11" s="7">
        <f t="shared" si="22"/>
        <v>0</v>
      </c>
      <c r="AE11" s="22">
        <f t="shared" si="23"/>
        <v>0</v>
      </c>
      <c r="AG11" s="15">
        <f t="shared" si="24"/>
        <v>3.4028283617280004</v>
      </c>
      <c r="AH11" s="22">
        <f t="shared" si="2"/>
        <v>8.4390143370854407</v>
      </c>
      <c r="AJ11" s="7">
        <f t="shared" si="45"/>
        <v>75.84</v>
      </c>
      <c r="AK11" s="7">
        <f t="shared" si="25"/>
        <v>96.413470248959996</v>
      </c>
      <c r="AL11" s="22">
        <f t="shared" si="26"/>
        <v>7311.9975836811263</v>
      </c>
      <c r="AN11" s="15">
        <f t="shared" si="46"/>
        <v>14</v>
      </c>
      <c r="AO11" s="7">
        <f t="shared" si="27"/>
        <v>109.97382616822429</v>
      </c>
      <c r="AP11" s="22">
        <f t="shared" si="28"/>
        <v>1539.6335663551401</v>
      </c>
      <c r="AQ11" s="22"/>
      <c r="AR11" s="15">
        <f t="shared" si="47"/>
        <v>5</v>
      </c>
      <c r="AS11" s="7">
        <f t="shared" si="29"/>
        <v>199.95241121495326</v>
      </c>
      <c r="AT11" s="22">
        <f t="shared" si="30"/>
        <v>999.76205607476629</v>
      </c>
      <c r="AV11" s="7">
        <f t="shared" si="48"/>
        <v>0</v>
      </c>
      <c r="AW11" s="7">
        <f t="shared" si="31"/>
        <v>0</v>
      </c>
      <c r="AX11" s="22">
        <f t="shared" si="49"/>
        <v>0</v>
      </c>
      <c r="AZ11" s="34">
        <f t="shared" si="32"/>
        <v>0</v>
      </c>
      <c r="BA11" s="22">
        <f t="shared" si="3"/>
        <v>0</v>
      </c>
      <c r="BC11" s="34">
        <f t="shared" si="33"/>
        <v>0</v>
      </c>
      <c r="BD11" s="22">
        <f t="shared" si="4"/>
        <v>0</v>
      </c>
      <c r="BF11" s="34">
        <f t="shared" si="34"/>
        <v>0</v>
      </c>
      <c r="BG11" s="22">
        <f t="shared" si="5"/>
        <v>0</v>
      </c>
      <c r="BI11" s="22">
        <f t="shared" si="6"/>
        <v>39.68</v>
      </c>
      <c r="BJ11" s="7"/>
      <c r="BK11" s="22">
        <f t="shared" si="7"/>
        <v>2148.821912523365</v>
      </c>
      <c r="BM11" s="22" t="str">
        <f>IF(Almonds!$D$18&lt;0,(+S11+W11+AA11+AE11+AH11+AL11+AT11+AX11+BA11+BD11+BG11+BI11+BK11)*Almonds!$D$18/100,IF(Almonds!$D$18&gt;0,(+S11+W11+AA11+AE11+AH11+AL11+AT11+AX11+BA11+BD11+BG11+BI11+BK11)*Almonds!$D$18/100,""))</f>
        <v/>
      </c>
      <c r="BO11" s="22">
        <f t="shared" si="35"/>
        <v>15601.210027221301</v>
      </c>
      <c r="BQ11" s="22">
        <f t="shared" si="8"/>
        <v>2305.6392438067396</v>
      </c>
      <c r="BR11" s="22">
        <f t="shared" si="9"/>
        <v>2305.6392438067396</v>
      </c>
      <c r="BT11" s="162">
        <f t="shared" si="36"/>
        <v>1.858589684558795</v>
      </c>
      <c r="BU11" s="163">
        <f t="shared" si="37"/>
        <v>1.858589684558795</v>
      </c>
      <c r="BW11" s="7">
        <f>+'Almonds Margin - Baseline'!BN9</f>
        <v>142.63272000000001</v>
      </c>
      <c r="BX11" s="7">
        <f>+'Almonds Margin - Baseline'!BO9</f>
        <v>160.84035389767681</v>
      </c>
      <c r="BY11" s="7">
        <f>+'Almonds Margin - Baseline'!BP9</f>
        <v>142.06808410214401</v>
      </c>
      <c r="BZ11" s="7">
        <f>+'Almonds Margin - Baseline'!BQ9</f>
        <v>105.84894330229197</v>
      </c>
    </row>
    <row r="12" spans="1:78" x14ac:dyDescent="0.2">
      <c r="A12" s="8">
        <f t="shared" si="10"/>
        <v>2026</v>
      </c>
      <c r="B12" s="34">
        <f t="shared" si="11"/>
        <v>7451.5598579439265</v>
      </c>
      <c r="C12" s="122">
        <f t="shared" si="50"/>
        <v>7.4515598579439262</v>
      </c>
      <c r="D12" s="122">
        <f t="shared" si="12"/>
        <v>7451.5598579439265</v>
      </c>
      <c r="E12" s="121">
        <f t="shared" si="13"/>
        <v>7.4515598579439262</v>
      </c>
      <c r="F12" s="122"/>
      <c r="G12" s="157">
        <f t="shared" si="38"/>
        <v>2.48</v>
      </c>
      <c r="H12" s="155">
        <f t="shared" si="39"/>
        <v>2.48</v>
      </c>
      <c r="J12" s="22">
        <f t="shared" si="0"/>
        <v>18479.868447700937</v>
      </c>
      <c r="K12" s="22">
        <f t="shared" si="1"/>
        <v>18479.868447700937</v>
      </c>
      <c r="L12" s="35"/>
      <c r="M12" s="28">
        <f t="shared" si="40"/>
        <v>557.54999999999995</v>
      </c>
      <c r="N12" s="14">
        <f t="shared" si="14"/>
        <v>6.0188641525638005</v>
      </c>
      <c r="O12" s="31">
        <f t="shared" si="15"/>
        <v>3355.8177082619468</v>
      </c>
      <c r="Q12" s="15">
        <f t="shared" si="41"/>
        <v>5</v>
      </c>
      <c r="R12" s="7">
        <f t="shared" si="16"/>
        <v>29.474731805937438</v>
      </c>
      <c r="S12" s="7">
        <f t="shared" si="17"/>
        <v>147.37365902968719</v>
      </c>
      <c r="U12" s="15">
        <f t="shared" si="42"/>
        <v>4</v>
      </c>
      <c r="V12" s="7">
        <f t="shared" si="18"/>
        <v>40.339666728396352</v>
      </c>
      <c r="W12" s="7">
        <f t="shared" si="19"/>
        <v>161.35866691358541</v>
      </c>
      <c r="Y12" s="15">
        <f t="shared" si="43"/>
        <v>2</v>
      </c>
      <c r="Z12" s="7">
        <f t="shared" si="20"/>
        <v>18.864270919340591</v>
      </c>
      <c r="AA12" s="22">
        <f t="shared" si="21"/>
        <v>37.728541838681181</v>
      </c>
      <c r="AB12" s="22"/>
      <c r="AC12" s="15">
        <f t="shared" si="44"/>
        <v>0</v>
      </c>
      <c r="AD12" s="7">
        <f t="shared" si="22"/>
        <v>0</v>
      </c>
      <c r="AE12" s="22">
        <f t="shared" si="23"/>
        <v>0</v>
      </c>
      <c r="AG12" s="15">
        <f t="shared" si="24"/>
        <v>3.5117188693032966</v>
      </c>
      <c r="AH12" s="22">
        <f t="shared" si="2"/>
        <v>8.7090627958721747</v>
      </c>
      <c r="AJ12" s="7">
        <f t="shared" si="45"/>
        <v>75.84</v>
      </c>
      <c r="AK12" s="7">
        <f t="shared" si="25"/>
        <v>99.498701296926725</v>
      </c>
      <c r="AL12" s="22">
        <f t="shared" si="26"/>
        <v>7545.9815063589231</v>
      </c>
      <c r="AN12" s="15">
        <f t="shared" si="46"/>
        <v>14</v>
      </c>
      <c r="AO12" s="7">
        <f t="shared" si="27"/>
        <v>113.49298860560747</v>
      </c>
      <c r="AP12" s="22">
        <f t="shared" si="28"/>
        <v>1588.9018404785045</v>
      </c>
      <c r="AQ12" s="22"/>
      <c r="AR12" s="15">
        <f t="shared" si="47"/>
        <v>5</v>
      </c>
      <c r="AS12" s="7">
        <f t="shared" si="29"/>
        <v>206.35088837383174</v>
      </c>
      <c r="AT12" s="22">
        <f t="shared" si="30"/>
        <v>1031.7544418691587</v>
      </c>
      <c r="AV12" s="7">
        <f t="shared" si="48"/>
        <v>0</v>
      </c>
      <c r="AW12" s="7">
        <f t="shared" si="31"/>
        <v>0</v>
      </c>
      <c r="AX12" s="22">
        <f t="shared" si="49"/>
        <v>0</v>
      </c>
      <c r="AZ12" s="34">
        <f t="shared" si="32"/>
        <v>0</v>
      </c>
      <c r="BA12" s="22">
        <f t="shared" si="3"/>
        <v>0</v>
      </c>
      <c r="BC12" s="34">
        <f t="shared" si="33"/>
        <v>0</v>
      </c>
      <c r="BD12" s="22">
        <f t="shared" si="4"/>
        <v>0</v>
      </c>
      <c r="BF12" s="34">
        <f t="shared" si="34"/>
        <v>0</v>
      </c>
      <c r="BG12" s="22">
        <f t="shared" si="5"/>
        <v>0</v>
      </c>
      <c r="BI12" s="22">
        <f t="shared" si="6"/>
        <v>39.68</v>
      </c>
      <c r="BJ12" s="7"/>
      <c r="BK12" s="22">
        <f t="shared" si="7"/>
        <v>2217.5842137241125</v>
      </c>
      <c r="BM12" s="22" t="str">
        <f>IF(Almonds!$D$18&lt;0,(+S12+W12+AA12+AE12+AH12+AL12+AT12+AX12+BA12+BD12+BG12+BI12+BK12)*Almonds!$D$18/100,IF(Almonds!$D$18&gt;0,(+S12+W12+AA12+AE12+AH12+AL12+AT12+AX12+BA12+BD12+BG12+BI12+BK12)*Almonds!$D$18/100,""))</f>
        <v/>
      </c>
      <c r="BO12" s="22">
        <f t="shared" si="35"/>
        <v>16134.889641270471</v>
      </c>
      <c r="BQ12" s="22">
        <f t="shared" si="8"/>
        <v>2344.9788064304666</v>
      </c>
      <c r="BR12" s="22">
        <f t="shared" si="9"/>
        <v>2344.9788064304666</v>
      </c>
      <c r="BT12" s="162">
        <f t="shared" si="36"/>
        <v>1.8633876650854726</v>
      </c>
      <c r="BU12" s="163">
        <f t="shared" si="37"/>
        <v>1.8633876650854726</v>
      </c>
      <c r="BW12" s="7">
        <f>+'Almonds Margin - Baseline'!BN10</f>
        <v>147.19696704</v>
      </c>
      <c r="BX12" s="7">
        <f>+'Almonds Margin - Baseline'!BO10</f>
        <v>165.98724522240246</v>
      </c>
      <c r="BY12" s="7">
        <f>+'Almonds Margin - Baseline'!BP10</f>
        <v>146.61426279341262</v>
      </c>
      <c r="BZ12" s="7">
        <f>+'Almonds Margin - Baseline'!BQ10</f>
        <v>110.30001799927945</v>
      </c>
    </row>
    <row r="13" spans="1:78" x14ac:dyDescent="0.2">
      <c r="A13" s="8">
        <f t="shared" si="10"/>
        <v>2027</v>
      </c>
      <c r="B13" s="34">
        <f t="shared" si="11"/>
        <v>7690.009773398132</v>
      </c>
      <c r="C13" s="122">
        <f t="shared" si="50"/>
        <v>7.6900097733981321</v>
      </c>
      <c r="D13" s="122">
        <f t="shared" si="12"/>
        <v>7690.009773398132</v>
      </c>
      <c r="E13" s="121">
        <f t="shared" si="13"/>
        <v>7.6900097733981321</v>
      </c>
      <c r="F13" s="122"/>
      <c r="G13" s="157">
        <f t="shared" si="38"/>
        <v>2.48</v>
      </c>
      <c r="H13" s="155">
        <f t="shared" si="39"/>
        <v>2.48</v>
      </c>
      <c r="J13" s="22">
        <f t="shared" si="0"/>
        <v>19071.224238027367</v>
      </c>
      <c r="K13" s="20">
        <f t="shared" si="1"/>
        <v>19071.224238027367</v>
      </c>
      <c r="L13" s="35"/>
      <c r="M13" s="28">
        <f t="shared" si="40"/>
        <v>557.54999999999995</v>
      </c>
      <c r="N13" s="14">
        <f t="shared" si="14"/>
        <v>6.2719095825051818</v>
      </c>
      <c r="O13" s="31">
        <f t="shared" si="15"/>
        <v>3496.9031877257639</v>
      </c>
      <c r="Q13" s="15">
        <f t="shared" si="41"/>
        <v>5</v>
      </c>
      <c r="R13" s="7">
        <f t="shared" si="16"/>
        <v>30.713910161385677</v>
      </c>
      <c r="S13" s="7">
        <f t="shared" si="17"/>
        <v>153.56955080692839</v>
      </c>
      <c r="U13" s="15">
        <f t="shared" si="42"/>
        <v>4</v>
      </c>
      <c r="V13" s="7">
        <f t="shared" si="18"/>
        <v>42.035629297452012</v>
      </c>
      <c r="W13" s="7">
        <f t="shared" si="19"/>
        <v>168.14251718980805</v>
      </c>
      <c r="Y13" s="15">
        <f t="shared" si="43"/>
        <v>2</v>
      </c>
      <c r="Z13" s="7">
        <f t="shared" si="20"/>
        <v>19.657363673109074</v>
      </c>
      <c r="AA13" s="22">
        <f t="shared" si="21"/>
        <v>39.314727346218149</v>
      </c>
      <c r="AB13" s="22"/>
      <c r="AC13" s="15">
        <f t="shared" si="44"/>
        <v>0</v>
      </c>
      <c r="AD13" s="7">
        <f t="shared" si="22"/>
        <v>0</v>
      </c>
      <c r="AE13" s="22">
        <f t="shared" si="23"/>
        <v>0</v>
      </c>
      <c r="AG13" s="15">
        <f t="shared" si="24"/>
        <v>3.624093873121002</v>
      </c>
      <c r="AH13" s="22">
        <f t="shared" si="2"/>
        <v>8.9877528053400848</v>
      </c>
      <c r="AJ13" s="7">
        <f t="shared" si="45"/>
        <v>75.84</v>
      </c>
      <c r="AK13" s="7">
        <f t="shared" si="25"/>
        <v>102.68265973842838</v>
      </c>
      <c r="AL13" s="22">
        <f t="shared" si="26"/>
        <v>7787.4529145624092</v>
      </c>
      <c r="AN13" s="15">
        <f t="shared" si="46"/>
        <v>14</v>
      </c>
      <c r="AO13" s="7">
        <f t="shared" si="27"/>
        <v>117.12476424098692</v>
      </c>
      <c r="AP13" s="22">
        <f t="shared" si="28"/>
        <v>1639.7466993738169</v>
      </c>
      <c r="AQ13" s="22"/>
      <c r="AR13" s="15">
        <f t="shared" si="47"/>
        <v>5</v>
      </c>
      <c r="AS13" s="7">
        <f t="shared" si="29"/>
        <v>212.95411680179436</v>
      </c>
      <c r="AT13" s="22">
        <f t="shared" si="30"/>
        <v>1064.7705840089718</v>
      </c>
      <c r="AV13" s="7">
        <f t="shared" si="48"/>
        <v>0</v>
      </c>
      <c r="AW13" s="7">
        <f t="shared" si="31"/>
        <v>0</v>
      </c>
      <c r="AX13" s="22">
        <f t="shared" si="49"/>
        <v>0</v>
      </c>
      <c r="AZ13" s="34">
        <f t="shared" si="32"/>
        <v>0</v>
      </c>
      <c r="BA13" s="22">
        <f t="shared" si="3"/>
        <v>0</v>
      </c>
      <c r="BC13" s="34">
        <f t="shared" si="33"/>
        <v>0</v>
      </c>
      <c r="BD13" s="22">
        <f t="shared" si="4"/>
        <v>0</v>
      </c>
      <c r="BF13" s="34">
        <f t="shared" si="34"/>
        <v>0</v>
      </c>
      <c r="BG13" s="22">
        <f t="shared" si="5"/>
        <v>0</v>
      </c>
      <c r="BI13" s="22">
        <f t="shared" si="6"/>
        <v>39.68</v>
      </c>
      <c r="BJ13" s="7"/>
      <c r="BK13" s="22">
        <f t="shared" si="7"/>
        <v>2288.546908563284</v>
      </c>
      <c r="BM13" s="22" t="str">
        <f>IF(Almonds!$D$18&lt;0,(+S13+W13+AA13+AE13+AH13+AL13+AT13+AX13+BA13+BD13+BG13+BI13+BK13)*Almonds!$D$18/100,IF(Almonds!$D$18&gt;0,(+S13+W13+AA13+AE13+AH13+AL13+AT13+AX13+BA13+BD13+BG13+BI13+BK13)*Almonds!$D$18/100,""))</f>
        <v/>
      </c>
      <c r="BO13" s="22">
        <f t="shared" si="35"/>
        <v>16687.11484238254</v>
      </c>
      <c r="BQ13" s="22">
        <f t="shared" si="8"/>
        <v>2384.1093956448276</v>
      </c>
      <c r="BR13" s="21">
        <f t="shared" si="9"/>
        <v>2384.1093956448276</v>
      </c>
      <c r="BT13" s="162">
        <f t="shared" si="36"/>
        <v>1.8682279705151066</v>
      </c>
      <c r="BU13" s="163">
        <f t="shared" si="37"/>
        <v>1.8682279705151066</v>
      </c>
      <c r="BW13" s="7">
        <f>+'Almonds Margin - Baseline'!BN11</f>
        <v>151.90726998528001</v>
      </c>
      <c r="BX13" s="7">
        <f>+'Almonds Margin - Baseline'!BO11</f>
        <v>171.29883706951935</v>
      </c>
      <c r="BY13" s="7">
        <f>+'Almonds Margin - Baseline'!BP11</f>
        <v>151.30591920280182</v>
      </c>
      <c r="BZ13" s="7">
        <f>+'Almonds Margin - Baseline'!BQ11</f>
        <v>114.93725764611229</v>
      </c>
    </row>
    <row r="14" spans="1:78" x14ac:dyDescent="0.2">
      <c r="A14" s="8">
        <f t="shared" si="10"/>
        <v>2028</v>
      </c>
      <c r="B14" s="34">
        <f t="shared" si="11"/>
        <v>7936.0900861468717</v>
      </c>
      <c r="C14" s="122">
        <f t="shared" si="50"/>
        <v>7.9360900861468719</v>
      </c>
      <c r="D14" s="122">
        <f t="shared" si="12"/>
        <v>7936.0900861468717</v>
      </c>
      <c r="E14" s="121">
        <f t="shared" si="13"/>
        <v>7.9360900861468719</v>
      </c>
      <c r="F14" s="122"/>
      <c r="G14" s="157">
        <f t="shared" si="38"/>
        <v>2.48</v>
      </c>
      <c r="H14" s="155">
        <f t="shared" si="39"/>
        <v>2.48</v>
      </c>
      <c r="J14" s="22">
        <f t="shared" si="0"/>
        <v>19681.503413644241</v>
      </c>
      <c r="K14" s="22">
        <f t="shared" si="1"/>
        <v>19681.503413644241</v>
      </c>
      <c r="L14" s="35"/>
      <c r="M14" s="28">
        <f t="shared" si="40"/>
        <v>557.54999999999995</v>
      </c>
      <c r="N14" s="14">
        <f t="shared" si="14"/>
        <v>6.5130820448388329</v>
      </c>
      <c r="O14" s="31">
        <f t="shared" si="15"/>
        <v>3631.3688940998909</v>
      </c>
      <c r="Q14" s="15">
        <f t="shared" si="41"/>
        <v>5</v>
      </c>
      <c r="R14" s="7">
        <f t="shared" si="16"/>
        <v>31.894945896048991</v>
      </c>
      <c r="S14" s="7">
        <f t="shared" si="17"/>
        <v>159.47472948024495</v>
      </c>
      <c r="U14" s="15">
        <f t="shared" si="42"/>
        <v>4</v>
      </c>
      <c r="V14" s="7">
        <f t="shared" si="18"/>
        <v>43.652016793166148</v>
      </c>
      <c r="W14" s="7">
        <f t="shared" si="19"/>
        <v>174.60806717266459</v>
      </c>
      <c r="Y14" s="15">
        <f t="shared" si="43"/>
        <v>2</v>
      </c>
      <c r="Z14" s="7">
        <f t="shared" si="20"/>
        <v>20.413244276562889</v>
      </c>
      <c r="AA14" s="22">
        <f t="shared" si="21"/>
        <v>40.826488553125778</v>
      </c>
      <c r="AB14" s="22"/>
      <c r="AC14" s="15">
        <f t="shared" si="44"/>
        <v>0</v>
      </c>
      <c r="AD14" s="7">
        <f t="shared" si="22"/>
        <v>0</v>
      </c>
      <c r="AE14" s="22">
        <f t="shared" si="23"/>
        <v>0</v>
      </c>
      <c r="AG14" s="15">
        <f t="shared" si="24"/>
        <v>3.740064877060874</v>
      </c>
      <c r="AH14" s="22">
        <f t="shared" si="2"/>
        <v>9.2753608951109676</v>
      </c>
      <c r="AJ14" s="7">
        <f t="shared" si="45"/>
        <v>75.84</v>
      </c>
      <c r="AK14" s="7">
        <f t="shared" si="25"/>
        <v>105.9685048500581</v>
      </c>
      <c r="AL14" s="22">
        <f t="shared" si="26"/>
        <v>8036.6514078284063</v>
      </c>
      <c r="AN14" s="15">
        <f t="shared" si="46"/>
        <v>14</v>
      </c>
      <c r="AO14" s="7">
        <f t="shared" si="27"/>
        <v>120.87275669669849</v>
      </c>
      <c r="AP14" s="22">
        <f t="shared" si="28"/>
        <v>1692.2185937537788</v>
      </c>
      <c r="AQ14" s="22"/>
      <c r="AR14" s="15">
        <f t="shared" si="47"/>
        <v>5</v>
      </c>
      <c r="AS14" s="7">
        <f t="shared" si="29"/>
        <v>219.76864853945176</v>
      </c>
      <c r="AT14" s="22">
        <f t="shared" si="30"/>
        <v>1098.8432426972588</v>
      </c>
      <c r="AV14" s="7">
        <f t="shared" si="48"/>
        <v>0</v>
      </c>
      <c r="AW14" s="7">
        <f t="shared" si="31"/>
        <v>0</v>
      </c>
      <c r="AX14" s="22">
        <f t="shared" si="49"/>
        <v>0</v>
      </c>
      <c r="AZ14" s="34">
        <f t="shared" si="32"/>
        <v>0</v>
      </c>
      <c r="BA14" s="22">
        <f t="shared" si="3"/>
        <v>0</v>
      </c>
      <c r="BC14" s="34">
        <f t="shared" si="33"/>
        <v>0</v>
      </c>
      <c r="BD14" s="22">
        <f t="shared" si="4"/>
        <v>0</v>
      </c>
      <c r="BF14" s="34">
        <f t="shared" si="34"/>
        <v>0</v>
      </c>
      <c r="BG14" s="22">
        <f t="shared" si="5"/>
        <v>0</v>
      </c>
      <c r="BI14" s="22">
        <f t="shared" si="6"/>
        <v>39.68</v>
      </c>
      <c r="BJ14" s="7"/>
      <c r="BK14" s="22">
        <f t="shared" si="7"/>
        <v>2361.7804096373088</v>
      </c>
      <c r="BM14" s="22" t="str">
        <f>IF(Almonds!$D$18&lt;0,(+S14+W14+AA14+AE14+AH14+AL14+AT14+AX14+BA14+BD14+BG14+BI14+BK14)*Almonds!$D$18/100,IF(Almonds!$D$18&gt;0,(+S14+W14+AA14+AE14+AH14+AL14+AT14+AX14+BA14+BD14+BG14+BI14+BK14)*Almonds!$D$18/100,""))</f>
        <v/>
      </c>
      <c r="BO14" s="22">
        <f t="shared" si="35"/>
        <v>17244.727194117793</v>
      </c>
      <c r="BQ14" s="22">
        <f t="shared" si="8"/>
        <v>2436.7762195264477</v>
      </c>
      <c r="BR14" s="22">
        <f t="shared" si="9"/>
        <v>2436.7762195264477</v>
      </c>
      <c r="BT14" s="162">
        <f t="shared" si="36"/>
        <v>1.8713685052244275</v>
      </c>
      <c r="BU14" s="163">
        <f t="shared" si="37"/>
        <v>1.8713685052244275</v>
      </c>
      <c r="BW14" s="7">
        <f>+'Almonds Margin - Baseline'!BN12</f>
        <v>156.76830262480897</v>
      </c>
      <c r="BX14" s="7">
        <f>+'Almonds Margin - Baseline'!BO12</f>
        <v>176.78039985574398</v>
      </c>
      <c r="BY14" s="7">
        <f>+'Almonds Margin - Baseline'!BP12</f>
        <v>156.14770861729147</v>
      </c>
      <c r="BZ14" s="7">
        <f>+'Almonds Margin - Baseline'!BQ12</f>
        <v>119.35691661532179</v>
      </c>
    </row>
    <row r="15" spans="1:78" x14ac:dyDescent="0.2">
      <c r="A15" s="8">
        <f t="shared" si="10"/>
        <v>2029</v>
      </c>
      <c r="B15" s="34">
        <f t="shared" si="11"/>
        <v>8190.0449689035722</v>
      </c>
      <c r="C15" s="122">
        <f t="shared" si="50"/>
        <v>8.1900449689035728</v>
      </c>
      <c r="D15" s="122">
        <f t="shared" si="12"/>
        <v>8190.0449689035722</v>
      </c>
      <c r="E15" s="121">
        <f t="shared" si="13"/>
        <v>8.1900449689035728</v>
      </c>
      <c r="F15" s="122"/>
      <c r="G15" s="157">
        <f t="shared" si="38"/>
        <v>2.48</v>
      </c>
      <c r="H15" s="155">
        <f t="shared" si="39"/>
        <v>2.48</v>
      </c>
      <c r="J15" s="22">
        <f t="shared" si="0"/>
        <v>20311.31152288086</v>
      </c>
      <c r="K15" s="22">
        <f t="shared" si="1"/>
        <v>20311.31152288086</v>
      </c>
      <c r="L15" s="35"/>
      <c r="M15" s="28">
        <f t="shared" si="40"/>
        <v>557.54999999999995</v>
      </c>
      <c r="N15" s="14">
        <f t="shared" si="14"/>
        <v>6.6393436242853889</v>
      </c>
      <c r="O15" s="31">
        <f t="shared" si="15"/>
        <v>3701.7660377203183</v>
      </c>
      <c r="Q15" s="15">
        <f t="shared" si="41"/>
        <v>5</v>
      </c>
      <c r="R15" s="7">
        <f t="shared" si="16"/>
        <v>32.513256277750507</v>
      </c>
      <c r="S15" s="7">
        <f t="shared" si="17"/>
        <v>162.56628138875254</v>
      </c>
      <c r="U15" s="15">
        <f t="shared" si="42"/>
        <v>4</v>
      </c>
      <c r="V15" s="7">
        <f t="shared" si="18"/>
        <v>44.498247893648028</v>
      </c>
      <c r="W15" s="7">
        <f t="shared" si="19"/>
        <v>177.99299157459211</v>
      </c>
      <c r="Y15" s="15">
        <f t="shared" si="43"/>
        <v>2</v>
      </c>
      <c r="Z15" s="7">
        <f t="shared" si="20"/>
        <v>20.808972204791523</v>
      </c>
      <c r="AA15" s="22">
        <f t="shared" si="21"/>
        <v>41.617944409583046</v>
      </c>
      <c r="AB15" s="22"/>
      <c r="AC15" s="15">
        <f t="shared" si="44"/>
        <v>0</v>
      </c>
      <c r="AD15" s="7">
        <f t="shared" si="22"/>
        <v>0</v>
      </c>
      <c r="AE15" s="22">
        <f t="shared" si="23"/>
        <v>0</v>
      </c>
      <c r="AG15" s="15">
        <f t="shared" si="24"/>
        <v>3.8597469531268223</v>
      </c>
      <c r="AH15" s="22">
        <f t="shared" si="2"/>
        <v>9.5721724437545195</v>
      </c>
      <c r="AJ15" s="7">
        <f t="shared" si="45"/>
        <v>75.84</v>
      </c>
      <c r="AK15" s="7">
        <f t="shared" si="25"/>
        <v>109.35949700525995</v>
      </c>
      <c r="AL15" s="22">
        <f t="shared" si="26"/>
        <v>8293.824252878916</v>
      </c>
      <c r="AN15" s="15">
        <f t="shared" si="46"/>
        <v>14</v>
      </c>
      <c r="AO15" s="7">
        <f t="shared" si="27"/>
        <v>124.74068491099284</v>
      </c>
      <c r="AP15" s="22">
        <f t="shared" si="28"/>
        <v>1746.3695887538997</v>
      </c>
      <c r="AQ15" s="22"/>
      <c r="AR15" s="15">
        <f t="shared" si="47"/>
        <v>5</v>
      </c>
      <c r="AS15" s="7">
        <f t="shared" si="29"/>
        <v>226.80124529271424</v>
      </c>
      <c r="AT15" s="22">
        <f t="shared" si="30"/>
        <v>1134.0062264635712</v>
      </c>
      <c r="AV15" s="7">
        <f t="shared" si="48"/>
        <v>0</v>
      </c>
      <c r="AW15" s="7">
        <f t="shared" si="31"/>
        <v>0</v>
      </c>
      <c r="AX15" s="22">
        <f t="shared" si="49"/>
        <v>0</v>
      </c>
      <c r="AZ15" s="34">
        <f t="shared" si="32"/>
        <v>0</v>
      </c>
      <c r="BA15" s="22">
        <f t="shared" si="3"/>
        <v>0</v>
      </c>
      <c r="BC15" s="34">
        <f t="shared" si="33"/>
        <v>0</v>
      </c>
      <c r="BD15" s="22">
        <f t="shared" si="4"/>
        <v>0</v>
      </c>
      <c r="BF15" s="34">
        <f t="shared" si="34"/>
        <v>0</v>
      </c>
      <c r="BG15" s="22">
        <f t="shared" si="5"/>
        <v>0</v>
      </c>
      <c r="BI15" s="22">
        <f t="shared" si="6"/>
        <v>39.68</v>
      </c>
      <c r="BJ15" s="7"/>
      <c r="BK15" s="22">
        <f t="shared" si="7"/>
        <v>2437.357382745703</v>
      </c>
      <c r="BM15" s="22" t="str">
        <f>IF(Almonds!$D$18&lt;0,(+S15+W15+AA15+AE15+AH15+AL15+AT15+AX15+BA15+BD15+BG15+BI15+BK15)*Almonds!$D$18/100,IF(Almonds!$D$18&gt;0,(+S15+W15+AA15+AE15+AH15+AL15+AT15+AX15+BA15+BD15+BG15+BI15+BK15)*Almonds!$D$18/100,""))</f>
        <v/>
      </c>
      <c r="BO15" s="22">
        <f t="shared" si="35"/>
        <v>17744.752878379091</v>
      </c>
      <c r="BQ15" s="22">
        <f t="shared" si="8"/>
        <v>2566.5586445017689</v>
      </c>
      <c r="BR15" s="22">
        <f t="shared" si="9"/>
        <v>2566.5586445017689</v>
      </c>
      <c r="BT15" s="162">
        <f t="shared" si="36"/>
        <v>1.8651908884524067</v>
      </c>
      <c r="BU15" s="163">
        <f t="shared" si="37"/>
        <v>1.8651908884524067</v>
      </c>
      <c r="BW15" s="7">
        <f>+'Almonds Margin - Baseline'!BN13</f>
        <v>161.78488830880286</v>
      </c>
      <c r="BX15" s="7">
        <f>+'Almonds Margin - Baseline'!BO13</f>
        <v>182.43737265112779</v>
      </c>
      <c r="BY15" s="7">
        <f>+'Almonds Margin - Baseline'!BP13</f>
        <v>161.14443529304481</v>
      </c>
      <c r="BZ15" s="7">
        <f>+'Almonds Margin - Baseline'!BQ13</f>
        <v>121.670750942292</v>
      </c>
    </row>
    <row r="16" spans="1:78" x14ac:dyDescent="0.2">
      <c r="A16" s="8">
        <f t="shared" si="10"/>
        <v>2030</v>
      </c>
      <c r="B16" s="34">
        <f t="shared" si="11"/>
        <v>8452.1264079084849</v>
      </c>
      <c r="C16" s="122">
        <f t="shared" si="50"/>
        <v>8.4521264079084855</v>
      </c>
      <c r="D16" s="122">
        <f t="shared" si="12"/>
        <v>8452.1264079084849</v>
      </c>
      <c r="E16" s="121">
        <f t="shared" si="13"/>
        <v>8.4521264079084855</v>
      </c>
      <c r="F16" s="122"/>
      <c r="G16" s="157">
        <f t="shared" si="38"/>
        <v>2.48</v>
      </c>
      <c r="H16" s="155">
        <f t="shared" si="39"/>
        <v>2.48</v>
      </c>
      <c r="J16" s="22">
        <f t="shared" si="0"/>
        <v>20961.273491613043</v>
      </c>
      <c r="K16" s="20">
        <f t="shared" si="1"/>
        <v>20961.273491613043</v>
      </c>
      <c r="L16" s="35"/>
      <c r="M16" s="28">
        <f t="shared" si="40"/>
        <v>557.54999999999995</v>
      </c>
      <c r="N16" s="14">
        <f t="shared" si="14"/>
        <v>6.7659859231853821</v>
      </c>
      <c r="O16" s="31">
        <f t="shared" si="15"/>
        <v>3772.3754514720094</v>
      </c>
      <c r="Q16" s="15">
        <f t="shared" si="41"/>
        <v>5</v>
      </c>
      <c r="R16" s="7">
        <f t="shared" si="16"/>
        <v>33.133431065010768</v>
      </c>
      <c r="S16" s="7">
        <f t="shared" si="17"/>
        <v>165.66715532505384</v>
      </c>
      <c r="U16" s="15">
        <f t="shared" si="42"/>
        <v>4</v>
      </c>
      <c r="V16" s="7">
        <f t="shared" si="18"/>
        <v>45.347030654290265</v>
      </c>
      <c r="W16" s="7">
        <f t="shared" si="19"/>
        <v>181.38812261716106</v>
      </c>
      <c r="Y16" s="15">
        <f t="shared" si="43"/>
        <v>2</v>
      </c>
      <c r="Z16" s="7">
        <f t="shared" si="20"/>
        <v>21.205893380571833</v>
      </c>
      <c r="AA16" s="22">
        <f t="shared" si="21"/>
        <v>42.411786761143667</v>
      </c>
      <c r="AB16" s="22"/>
      <c r="AC16" s="15">
        <f t="shared" si="44"/>
        <v>0</v>
      </c>
      <c r="AD16" s="7">
        <f t="shared" si="22"/>
        <v>0</v>
      </c>
      <c r="AE16" s="22">
        <f t="shared" si="23"/>
        <v>0</v>
      </c>
      <c r="AG16" s="15">
        <f t="shared" si="24"/>
        <v>3.9832588556268806</v>
      </c>
      <c r="AH16" s="22">
        <f t="shared" si="2"/>
        <v>9.8784819619546642</v>
      </c>
      <c r="AJ16" s="7">
        <f t="shared" si="45"/>
        <v>75.84</v>
      </c>
      <c r="AK16" s="7">
        <f t="shared" si="25"/>
        <v>112.85900090942827</v>
      </c>
      <c r="AL16" s="22">
        <f t="shared" si="26"/>
        <v>8559.2266289710406</v>
      </c>
      <c r="AN16" s="15">
        <f t="shared" si="46"/>
        <v>14</v>
      </c>
      <c r="AO16" s="7">
        <f t="shared" si="27"/>
        <v>128.7323868281446</v>
      </c>
      <c r="AP16" s="22">
        <f t="shared" si="28"/>
        <v>1802.2534155940243</v>
      </c>
      <c r="AQ16" s="22"/>
      <c r="AR16" s="15">
        <f t="shared" si="47"/>
        <v>5</v>
      </c>
      <c r="AS16" s="7">
        <f t="shared" si="29"/>
        <v>234.0588851420811</v>
      </c>
      <c r="AT16" s="22">
        <f t="shared" si="30"/>
        <v>1170.2944257104054</v>
      </c>
      <c r="AV16" s="7">
        <f t="shared" si="48"/>
        <v>0</v>
      </c>
      <c r="AW16" s="7">
        <f t="shared" si="31"/>
        <v>0</v>
      </c>
      <c r="AX16" s="22">
        <f t="shared" si="49"/>
        <v>0</v>
      </c>
      <c r="AZ16" s="34">
        <f t="shared" si="32"/>
        <v>0</v>
      </c>
      <c r="BA16" s="22">
        <f t="shared" si="3"/>
        <v>0</v>
      </c>
      <c r="BC16" s="34">
        <f t="shared" si="33"/>
        <v>0</v>
      </c>
      <c r="BD16" s="22">
        <f t="shared" si="4"/>
        <v>0</v>
      </c>
      <c r="BF16" s="34">
        <f t="shared" si="34"/>
        <v>0</v>
      </c>
      <c r="BG16" s="22">
        <f t="shared" si="5"/>
        <v>0</v>
      </c>
      <c r="BI16" s="22">
        <f t="shared" si="6"/>
        <v>39.68</v>
      </c>
      <c r="BJ16" s="7"/>
      <c r="BK16" s="22">
        <f t="shared" si="7"/>
        <v>2515.3528189935651</v>
      </c>
      <c r="BM16" s="22" t="str">
        <f>IF(Almonds!$D$18&lt;0,(+S16+W16+AA16+AE16+AH16+AL16+AT16+AX16+BA16+BD16+BG16+BI16+BK16)*Almonds!$D$18/100,IF(Almonds!$D$18&gt;0,(+S16+W16+AA16+AE16+AH16+AL16+AT16+AX16+BA16+BD16+BG16+BI16+BK16)*Almonds!$D$18/100,""))</f>
        <v/>
      </c>
      <c r="BO16" s="22">
        <f t="shared" si="35"/>
        <v>18258.52828740636</v>
      </c>
      <c r="BQ16" s="22">
        <f t="shared" si="8"/>
        <v>2702.7452042066834</v>
      </c>
      <c r="BR16" s="21">
        <f t="shared" si="9"/>
        <v>2702.7452042066834</v>
      </c>
      <c r="BT16" s="162">
        <f t="shared" si="36"/>
        <v>1.8589381790385284</v>
      </c>
      <c r="BU16" s="163">
        <f t="shared" si="37"/>
        <v>1.8589381790385284</v>
      </c>
      <c r="BW16" s="7">
        <f>+'Almonds Margin - Baseline'!BN14</f>
        <v>166.96200473468454</v>
      </c>
      <c r="BX16" s="7">
        <f>+'Almonds Margin - Baseline'!BO14</f>
        <v>188.27536857596388</v>
      </c>
      <c r="BY16" s="7">
        <f>+'Almonds Margin - Baseline'!BP14</f>
        <v>166.30105722242223</v>
      </c>
      <c r="BZ16" s="7">
        <f>+'Almonds Margin - Baseline'!BQ14</f>
        <v>123.9915622272899</v>
      </c>
    </row>
    <row r="17" spans="1:78" x14ac:dyDescent="0.2">
      <c r="A17" s="8">
        <f t="shared" si="10"/>
        <v>2031</v>
      </c>
      <c r="B17" s="34">
        <f t="shared" si="11"/>
        <v>8722.5944529615554</v>
      </c>
      <c r="C17" s="122">
        <f t="shared" si="50"/>
        <v>8.7225944529615553</v>
      </c>
      <c r="D17" s="122">
        <f t="shared" si="12"/>
        <v>8722.5944529615554</v>
      </c>
      <c r="E17" s="121">
        <f t="shared" si="13"/>
        <v>8.7225944529615553</v>
      </c>
      <c r="F17" s="122"/>
      <c r="G17" s="157">
        <f t="shared" si="38"/>
        <v>2.48</v>
      </c>
      <c r="H17" s="155">
        <f t="shared" si="39"/>
        <v>2.48</v>
      </c>
      <c r="J17" s="22">
        <f t="shared" si="0"/>
        <v>21632.034243344657</v>
      </c>
      <c r="K17" s="22">
        <f t="shared" si="1"/>
        <v>21632.034243344657</v>
      </c>
      <c r="L17" s="35"/>
      <c r="M17" s="28">
        <f t="shared" si="40"/>
        <v>557.54999999999995</v>
      </c>
      <c r="N17" s="14">
        <f t="shared" si="14"/>
        <v>6.8018443742030721</v>
      </c>
      <c r="O17" s="31">
        <f t="shared" si="15"/>
        <v>3792.3683308369227</v>
      </c>
      <c r="Q17" s="15">
        <f t="shared" si="41"/>
        <v>5</v>
      </c>
      <c r="R17" s="7">
        <f t="shared" si="16"/>
        <v>33.30903200896504</v>
      </c>
      <c r="S17" s="7">
        <f t="shared" si="17"/>
        <v>166.5451600448252</v>
      </c>
      <c r="U17" s="15">
        <f t="shared" si="42"/>
        <v>4</v>
      </c>
      <c r="V17" s="7">
        <f t="shared" si="18"/>
        <v>45.587361375633094</v>
      </c>
      <c r="W17" s="7">
        <f t="shared" si="19"/>
        <v>182.34944550253238</v>
      </c>
      <c r="Y17" s="15">
        <f t="shared" si="43"/>
        <v>2</v>
      </c>
      <c r="Z17" s="7">
        <f t="shared" si="20"/>
        <v>21.318280621353381</v>
      </c>
      <c r="AA17" s="22">
        <f t="shared" si="21"/>
        <v>42.636561242706762</v>
      </c>
      <c r="AB17" s="22"/>
      <c r="AC17" s="15">
        <f t="shared" si="44"/>
        <v>0</v>
      </c>
      <c r="AD17" s="7">
        <f t="shared" si="22"/>
        <v>0</v>
      </c>
      <c r="AE17" s="22">
        <f t="shared" si="23"/>
        <v>0</v>
      </c>
      <c r="AG17" s="15">
        <f t="shared" si="24"/>
        <v>4.1107231390069412</v>
      </c>
      <c r="AH17" s="22">
        <f t="shared" si="2"/>
        <v>10.194593384737214</v>
      </c>
      <c r="AJ17" s="7">
        <f t="shared" si="45"/>
        <v>75.84</v>
      </c>
      <c r="AK17" s="7">
        <f t="shared" si="25"/>
        <v>116.47048893852998</v>
      </c>
      <c r="AL17" s="22">
        <f t="shared" si="26"/>
        <v>8833.1218810981136</v>
      </c>
      <c r="AN17" s="15">
        <f t="shared" si="46"/>
        <v>14</v>
      </c>
      <c r="AO17" s="7">
        <f t="shared" si="27"/>
        <v>132.85182320664524</v>
      </c>
      <c r="AP17" s="22">
        <f t="shared" si="28"/>
        <v>1859.9255248930333</v>
      </c>
      <c r="AQ17" s="22"/>
      <c r="AR17" s="15">
        <f t="shared" si="47"/>
        <v>5</v>
      </c>
      <c r="AS17" s="7">
        <f t="shared" si="29"/>
        <v>241.5487694666277</v>
      </c>
      <c r="AT17" s="22">
        <f t="shared" si="30"/>
        <v>1207.7438473331385</v>
      </c>
      <c r="AV17" s="7">
        <f t="shared" si="48"/>
        <v>0</v>
      </c>
      <c r="AW17" s="7">
        <f t="shared" si="31"/>
        <v>0</v>
      </c>
      <c r="AX17" s="22">
        <f t="shared" si="49"/>
        <v>0</v>
      </c>
      <c r="AZ17" s="34">
        <f t="shared" si="32"/>
        <v>0</v>
      </c>
      <c r="BA17" s="22">
        <f t="shared" si="3"/>
        <v>0</v>
      </c>
      <c r="BC17" s="34">
        <f t="shared" si="33"/>
        <v>0</v>
      </c>
      <c r="BD17" s="22">
        <f t="shared" si="4"/>
        <v>0</v>
      </c>
      <c r="BF17" s="34">
        <f t="shared" si="34"/>
        <v>0</v>
      </c>
      <c r="BG17" s="22">
        <f t="shared" si="5"/>
        <v>0</v>
      </c>
      <c r="BI17" s="22">
        <f t="shared" si="6"/>
        <v>39.68</v>
      </c>
      <c r="BJ17" s="7"/>
      <c r="BK17" s="22">
        <f t="shared" si="7"/>
        <v>2595.8441092013586</v>
      </c>
      <c r="BM17" s="22" t="str">
        <f>IF(Almonds!$D$18&lt;0,(+S17+W17+AA17+AE17+AH17+AL17+AT17+AX17+BA17+BD17+BG17+BI17+BK17)*Almonds!$D$18/100,IF(Almonds!$D$18&gt;0,(+S17+W17+AA17+AE17+AH17+AL17+AT17+AX17+BA17+BD17+BG17+BI17+BK17)*Almonds!$D$18/100,""))</f>
        <v/>
      </c>
      <c r="BO17" s="22">
        <f t="shared" si="35"/>
        <v>18730.40945353737</v>
      </c>
      <c r="BQ17" s="22">
        <f t="shared" si="8"/>
        <v>2901.624789807287</v>
      </c>
      <c r="BR17" s="22">
        <f t="shared" si="9"/>
        <v>2901.624789807287</v>
      </c>
      <c r="BT17" s="162">
        <f t="shared" si="36"/>
        <v>1.8461837163351389</v>
      </c>
      <c r="BU17" s="163">
        <f t="shared" si="37"/>
        <v>1.8461837163351389</v>
      </c>
      <c r="BW17" s="7">
        <f>+'Almonds Margin - Baseline'!BN15</f>
        <v>172.30478888619444</v>
      </c>
      <c r="BX17" s="7">
        <f>+'Almonds Margin - Baseline'!BO15</f>
        <v>194.30018037039471</v>
      </c>
      <c r="BY17" s="7">
        <f>+'Almonds Margin - Baseline'!BP15</f>
        <v>171.62269105353974</v>
      </c>
      <c r="BZ17" s="7">
        <f>+'Almonds Margin - Baseline'!BQ15</f>
        <v>124.64869415325184</v>
      </c>
    </row>
    <row r="18" spans="1:78" x14ac:dyDescent="0.2">
      <c r="A18" s="8">
        <f t="shared" si="10"/>
        <v>2032</v>
      </c>
      <c r="B18" s="34">
        <f t="shared" si="11"/>
        <v>9001.7174754563257</v>
      </c>
      <c r="C18" s="122">
        <f t="shared" si="50"/>
        <v>9.0017174754563261</v>
      </c>
      <c r="D18" s="122">
        <f t="shared" si="12"/>
        <v>9001.7174754563257</v>
      </c>
      <c r="E18" s="121">
        <f t="shared" si="13"/>
        <v>9.0017174754563261</v>
      </c>
      <c r="F18" s="122"/>
      <c r="G18" s="157">
        <f t="shared" si="38"/>
        <v>2.48</v>
      </c>
      <c r="H18" s="155">
        <f t="shared" si="39"/>
        <v>2.48</v>
      </c>
      <c r="J18" s="22">
        <f t="shared" si="0"/>
        <v>22324.259339131688</v>
      </c>
      <c r="K18" s="22">
        <f t="shared" si="1"/>
        <v>22324.259339131688</v>
      </c>
      <c r="L18" s="35"/>
      <c r="M18" s="28">
        <f t="shared" si="40"/>
        <v>557.54999999999995</v>
      </c>
      <c r="N18" s="14">
        <f t="shared" si="14"/>
        <v>6.8266215824192065</v>
      </c>
      <c r="O18" s="31">
        <f t="shared" si="15"/>
        <v>3806.1828632778283</v>
      </c>
      <c r="Q18" s="15">
        <f t="shared" si="41"/>
        <v>5</v>
      </c>
      <c r="R18" s="7">
        <f t="shared" si="16"/>
        <v>33.430367455082283</v>
      </c>
      <c r="S18" s="7">
        <f t="shared" si="17"/>
        <v>167.15183727541142</v>
      </c>
      <c r="U18" s="15">
        <f t="shared" si="42"/>
        <v>4</v>
      </c>
      <c r="V18" s="7">
        <f t="shared" si="18"/>
        <v>45.753423326287553</v>
      </c>
      <c r="W18" s="7">
        <f t="shared" si="19"/>
        <v>183.01369330515021</v>
      </c>
      <c r="Y18" s="15">
        <f t="shared" si="43"/>
        <v>2</v>
      </c>
      <c r="Z18" s="7">
        <f t="shared" si="20"/>
        <v>21.395937128721961</v>
      </c>
      <c r="AA18" s="22">
        <f t="shared" si="21"/>
        <v>42.791874257443922</v>
      </c>
      <c r="AB18" s="22"/>
      <c r="AC18" s="15">
        <f t="shared" si="44"/>
        <v>0</v>
      </c>
      <c r="AD18" s="7">
        <f t="shared" si="22"/>
        <v>0</v>
      </c>
      <c r="AE18" s="22">
        <f t="shared" si="23"/>
        <v>0</v>
      </c>
      <c r="AG18" s="15">
        <f t="shared" si="24"/>
        <v>4.2422662794551638</v>
      </c>
      <c r="AH18" s="22">
        <f t="shared" si="2"/>
        <v>10.520820373048807</v>
      </c>
      <c r="AJ18" s="7">
        <f t="shared" si="45"/>
        <v>75.84</v>
      </c>
      <c r="AK18" s="7">
        <f t="shared" si="25"/>
        <v>120.19754458456295</v>
      </c>
      <c r="AL18" s="22">
        <f t="shared" si="26"/>
        <v>9115.7817812932535</v>
      </c>
      <c r="AN18" s="15">
        <f t="shared" si="46"/>
        <v>14</v>
      </c>
      <c r="AO18" s="7">
        <f t="shared" si="27"/>
        <v>137.10308154925789</v>
      </c>
      <c r="AP18" s="22">
        <f t="shared" si="28"/>
        <v>1919.4431416896105</v>
      </c>
      <c r="AQ18" s="22"/>
      <c r="AR18" s="15">
        <f t="shared" si="47"/>
        <v>5</v>
      </c>
      <c r="AS18" s="7">
        <f t="shared" si="29"/>
        <v>249.27833008955977</v>
      </c>
      <c r="AT18" s="22">
        <f t="shared" si="30"/>
        <v>1246.3916504477988</v>
      </c>
      <c r="AV18" s="7">
        <f t="shared" si="48"/>
        <v>0</v>
      </c>
      <c r="AW18" s="7">
        <f t="shared" si="31"/>
        <v>0</v>
      </c>
      <c r="AX18" s="22">
        <f t="shared" si="49"/>
        <v>0</v>
      </c>
      <c r="AZ18" s="34">
        <f t="shared" si="32"/>
        <v>0</v>
      </c>
      <c r="BA18" s="22">
        <f t="shared" si="3"/>
        <v>0</v>
      </c>
      <c r="BC18" s="34">
        <f t="shared" si="33"/>
        <v>0</v>
      </c>
      <c r="BD18" s="22">
        <f t="shared" si="4"/>
        <v>0</v>
      </c>
      <c r="BF18" s="34">
        <f t="shared" si="34"/>
        <v>0</v>
      </c>
      <c r="BG18" s="22">
        <f t="shared" si="5"/>
        <v>0</v>
      </c>
      <c r="BI18" s="22">
        <f t="shared" si="6"/>
        <v>39.68</v>
      </c>
      <c r="BJ18" s="7"/>
      <c r="BK18" s="22">
        <f t="shared" si="7"/>
        <v>2678.9111206958023</v>
      </c>
      <c r="BM18" s="22" t="str">
        <f>IF(Almonds!$D$18&lt;0,(+S18+W18+AA18+AE18+AH18+AL18+AT18+AX18+BA18+BD18+BG18+BI18+BK18)*Almonds!$D$18/100,IF(Almonds!$D$18&gt;0,(+S18+W18+AA18+AE18+AH18+AL18+AT18+AX18+BA18+BD18+BG18+BI18+BK18)*Almonds!$D$18/100,""))</f>
        <v/>
      </c>
      <c r="BO18" s="22">
        <f t="shared" si="35"/>
        <v>19209.868782615347</v>
      </c>
      <c r="BQ18" s="22">
        <f t="shared" si="8"/>
        <v>3114.3905565163404</v>
      </c>
      <c r="BR18" s="22">
        <f t="shared" si="9"/>
        <v>3114.3905565163404</v>
      </c>
      <c r="BT18" s="162">
        <f t="shared" si="36"/>
        <v>1.832988140931042</v>
      </c>
      <c r="BU18" s="163">
        <f t="shared" si="37"/>
        <v>1.832988140931042</v>
      </c>
      <c r="BW18" s="7">
        <f>+'Almonds Margin - Baseline'!BN16</f>
        <v>177.81854213055266</v>
      </c>
      <c r="BX18" s="7">
        <f>+'Almonds Margin - Baseline'!BO16</f>
        <v>200.51778614224733</v>
      </c>
      <c r="BY18" s="7">
        <f>+'Almonds Margin - Baseline'!BP16</f>
        <v>177.11461716725302</v>
      </c>
      <c r="BZ18" s="7">
        <f>+'Almonds Margin - Baseline'!BQ16</f>
        <v>125.10275432855042</v>
      </c>
    </row>
    <row r="19" spans="1:78" x14ac:dyDescent="0.2">
      <c r="A19" s="8">
        <f t="shared" si="10"/>
        <v>2033</v>
      </c>
      <c r="B19" s="34">
        <f t="shared" si="11"/>
        <v>9289.7724346709274</v>
      </c>
      <c r="C19" s="122">
        <f t="shared" si="50"/>
        <v>9.2897724346709278</v>
      </c>
      <c r="D19" s="122">
        <f t="shared" si="12"/>
        <v>9289.7724346709274</v>
      </c>
      <c r="E19" s="121">
        <f t="shared" si="13"/>
        <v>9.2897724346709278</v>
      </c>
      <c r="F19" s="122"/>
      <c r="G19" s="157">
        <f t="shared" si="38"/>
        <v>2.48</v>
      </c>
      <c r="H19" s="155">
        <f t="shared" si="39"/>
        <v>2.48</v>
      </c>
      <c r="J19" s="22">
        <f t="shared" si="0"/>
        <v>23038.635637983898</v>
      </c>
      <c r="K19" s="20">
        <f t="shared" si="1"/>
        <v>23038.635637983898</v>
      </c>
      <c r="L19" s="35"/>
      <c r="M19" s="28">
        <f t="shared" si="40"/>
        <v>557.54999999999995</v>
      </c>
      <c r="N19" s="14">
        <f t="shared" si="14"/>
        <v>6.8069714857716379</v>
      </c>
      <c r="O19" s="31">
        <f t="shared" si="15"/>
        <v>3795.2269518919766</v>
      </c>
      <c r="Q19" s="15">
        <f t="shared" si="41"/>
        <v>5</v>
      </c>
      <c r="R19" s="7">
        <f t="shared" si="16"/>
        <v>33.334139775911105</v>
      </c>
      <c r="S19" s="7">
        <f t="shared" si="17"/>
        <v>166.67069887955552</v>
      </c>
      <c r="U19" s="15">
        <f t="shared" si="42"/>
        <v>4</v>
      </c>
      <c r="V19" s="7">
        <f t="shared" si="18"/>
        <v>45.621724332947416</v>
      </c>
      <c r="W19" s="7">
        <f t="shared" si="19"/>
        <v>182.48689733178966</v>
      </c>
      <c r="Y19" s="15">
        <f t="shared" si="43"/>
        <v>2</v>
      </c>
      <c r="Z19" s="7">
        <f t="shared" si="20"/>
        <v>21.334349969192356</v>
      </c>
      <c r="AA19" s="22">
        <f t="shared" si="21"/>
        <v>42.668699938384712</v>
      </c>
      <c r="AB19" s="22"/>
      <c r="AC19" s="15">
        <f t="shared" si="44"/>
        <v>0</v>
      </c>
      <c r="AD19" s="7">
        <f t="shared" si="22"/>
        <v>0</v>
      </c>
      <c r="AE19" s="22">
        <f t="shared" si="23"/>
        <v>0</v>
      </c>
      <c r="AG19" s="15">
        <f t="shared" si="24"/>
        <v>4.3780188003977294</v>
      </c>
      <c r="AH19" s="22">
        <f t="shared" si="2"/>
        <v>10.857486624986368</v>
      </c>
      <c r="AJ19" s="7">
        <f t="shared" si="45"/>
        <v>75.84</v>
      </c>
      <c r="AK19" s="7">
        <f t="shared" si="25"/>
        <v>124.04386601126896</v>
      </c>
      <c r="AL19" s="22">
        <f t="shared" si="26"/>
        <v>9407.486798294638</v>
      </c>
      <c r="AN19" s="15">
        <f t="shared" si="46"/>
        <v>14</v>
      </c>
      <c r="AO19" s="7">
        <f t="shared" si="27"/>
        <v>141.49038015883414</v>
      </c>
      <c r="AP19" s="22">
        <f t="shared" si="28"/>
        <v>1980.865322223678</v>
      </c>
      <c r="AQ19" s="22"/>
      <c r="AR19" s="15">
        <f t="shared" si="47"/>
        <v>5</v>
      </c>
      <c r="AS19" s="7">
        <f t="shared" si="29"/>
        <v>257.25523665242565</v>
      </c>
      <c r="AT19" s="22">
        <f t="shared" si="30"/>
        <v>1286.2761832621281</v>
      </c>
      <c r="AV19" s="7">
        <f t="shared" si="48"/>
        <v>0</v>
      </c>
      <c r="AW19" s="7">
        <f t="shared" si="31"/>
        <v>0</v>
      </c>
      <c r="AX19" s="22">
        <f t="shared" si="49"/>
        <v>0</v>
      </c>
      <c r="AZ19" s="34">
        <f t="shared" si="32"/>
        <v>0</v>
      </c>
      <c r="BA19" s="22">
        <f t="shared" si="3"/>
        <v>0</v>
      </c>
      <c r="BC19" s="34">
        <f t="shared" si="33"/>
        <v>0</v>
      </c>
      <c r="BD19" s="22">
        <f t="shared" si="4"/>
        <v>0</v>
      </c>
      <c r="BF19" s="34">
        <f t="shared" si="34"/>
        <v>0</v>
      </c>
      <c r="BG19" s="22">
        <f t="shared" si="5"/>
        <v>0</v>
      </c>
      <c r="BI19" s="22">
        <f t="shared" si="6"/>
        <v>39.68</v>
      </c>
      <c r="BJ19" s="7"/>
      <c r="BK19" s="22">
        <f t="shared" si="7"/>
        <v>2764.6362765580675</v>
      </c>
      <c r="BM19" s="22" t="str">
        <f>IF(Almonds!$D$18&lt;0,(+S19+W19+AA19+AE19+AH19+AL19+AT19+AX19+BA19+BD19+BG19+BI19+BK19)*Almonds!$D$18/100,IF(Almonds!$D$18&gt;0,(+S19+W19+AA19+AE19+AH19+AL19+AT19+AX19+BA19+BD19+BG19+BI19+BK19)*Almonds!$D$18/100,""))</f>
        <v/>
      </c>
      <c r="BO19" s="22">
        <f t="shared" si="35"/>
        <v>19676.855315005207</v>
      </c>
      <c r="BQ19" s="22">
        <f t="shared" si="8"/>
        <v>3361.7803229786914</v>
      </c>
      <c r="BR19" s="21">
        <f t="shared" si="9"/>
        <v>3361.7803229786914</v>
      </c>
      <c r="BT19" s="162">
        <f t="shared" si="36"/>
        <v>1.8172040207538571</v>
      </c>
      <c r="BU19" s="163">
        <f t="shared" si="37"/>
        <v>1.8172040207538571</v>
      </c>
      <c r="BW19" s="7">
        <f>+'Almonds Margin - Baseline'!BN17</f>
        <v>183.50873547873033</v>
      </c>
      <c r="BX19" s="7">
        <f>+'Almonds Margin - Baseline'!BO17</f>
        <v>206.93435529879923</v>
      </c>
      <c r="BY19" s="7">
        <f>+'Almonds Margin - Baseline'!BP17</f>
        <v>182.78228491660511</v>
      </c>
      <c r="BZ19" s="7">
        <f>+'Almonds Margin - Baseline'!BQ17</f>
        <v>124.74265216326211</v>
      </c>
    </row>
    <row r="20" spans="1:78" x14ac:dyDescent="0.2">
      <c r="A20" s="8">
        <f t="shared" si="10"/>
        <v>2034</v>
      </c>
      <c r="B20" s="34">
        <f t="shared" si="11"/>
        <v>9587.0451525803965</v>
      </c>
      <c r="C20" s="122">
        <f t="shared" si="50"/>
        <v>9.5870451525803961</v>
      </c>
      <c r="D20" s="122">
        <f t="shared" si="12"/>
        <v>9587.0451525803965</v>
      </c>
      <c r="E20" s="121">
        <f t="shared" si="13"/>
        <v>9.5870451525803961</v>
      </c>
      <c r="F20" s="122"/>
      <c r="G20" s="157">
        <f t="shared" si="38"/>
        <v>2.48</v>
      </c>
      <c r="H20" s="155">
        <f t="shared" si="39"/>
        <v>2.48</v>
      </c>
      <c r="J20" s="22">
        <f t="shared" si="0"/>
        <v>23775.871978399384</v>
      </c>
      <c r="K20" s="22">
        <f t="shared" si="1"/>
        <v>23775.871978399384</v>
      </c>
      <c r="L20" s="35"/>
      <c r="M20" s="28">
        <f t="shared" si="40"/>
        <v>557.54999999999995</v>
      </c>
      <c r="N20" s="14">
        <f t="shared" si="14"/>
        <v>6.7971439850882778</v>
      </c>
      <c r="O20" s="31">
        <f t="shared" si="15"/>
        <v>3789.7476288859689</v>
      </c>
      <c r="Q20" s="15">
        <f t="shared" si="41"/>
        <v>5</v>
      </c>
      <c r="R20" s="7">
        <f t="shared" si="16"/>
        <v>33.286013926976416</v>
      </c>
      <c r="S20" s="7">
        <f t="shared" si="17"/>
        <v>166.43006963488207</v>
      </c>
      <c r="U20" s="15">
        <f t="shared" si="42"/>
        <v>4</v>
      </c>
      <c r="V20" s="7">
        <f t="shared" si="18"/>
        <v>45.555858400058568</v>
      </c>
      <c r="W20" s="7">
        <f t="shared" si="19"/>
        <v>182.22343360023427</v>
      </c>
      <c r="Y20" s="15">
        <f t="shared" si="43"/>
        <v>2</v>
      </c>
      <c r="Z20" s="7">
        <f t="shared" si="20"/>
        <v>21.303548703263811</v>
      </c>
      <c r="AA20" s="22">
        <f t="shared" si="21"/>
        <v>42.607097406527622</v>
      </c>
      <c r="AB20" s="22"/>
      <c r="AC20" s="15">
        <f t="shared" si="44"/>
        <v>0</v>
      </c>
      <c r="AD20" s="7">
        <f t="shared" si="22"/>
        <v>0</v>
      </c>
      <c r="AE20" s="22">
        <f t="shared" si="23"/>
        <v>0</v>
      </c>
      <c r="AG20" s="15">
        <f t="shared" si="24"/>
        <v>4.5181154020104568</v>
      </c>
      <c r="AH20" s="22">
        <f t="shared" si="2"/>
        <v>11.204926196985932</v>
      </c>
      <c r="AJ20" s="7">
        <f t="shared" si="45"/>
        <v>75.84</v>
      </c>
      <c r="AK20" s="7">
        <f t="shared" si="25"/>
        <v>128.01326972362958</v>
      </c>
      <c r="AL20" s="22">
        <f t="shared" si="26"/>
        <v>9708.526375840067</v>
      </c>
      <c r="AN20" s="15">
        <f t="shared" si="46"/>
        <v>14</v>
      </c>
      <c r="AO20" s="7">
        <f t="shared" si="27"/>
        <v>146.01807232391684</v>
      </c>
      <c r="AP20" s="22">
        <f t="shared" si="28"/>
        <v>2044.2530125348358</v>
      </c>
      <c r="AQ20" s="22"/>
      <c r="AR20" s="15">
        <f t="shared" si="47"/>
        <v>5</v>
      </c>
      <c r="AS20" s="7">
        <f t="shared" si="29"/>
        <v>265.48740422530329</v>
      </c>
      <c r="AT20" s="22">
        <f t="shared" si="30"/>
        <v>1327.4370211265164</v>
      </c>
      <c r="AV20" s="7">
        <f t="shared" si="48"/>
        <v>0</v>
      </c>
      <c r="AW20" s="7">
        <f t="shared" si="31"/>
        <v>0</v>
      </c>
      <c r="AX20" s="22">
        <f t="shared" si="49"/>
        <v>0</v>
      </c>
      <c r="AZ20" s="34">
        <f t="shared" si="32"/>
        <v>0</v>
      </c>
      <c r="BA20" s="22">
        <f t="shared" si="3"/>
        <v>0</v>
      </c>
      <c r="BC20" s="34">
        <f t="shared" si="33"/>
        <v>0</v>
      </c>
      <c r="BD20" s="22">
        <f t="shared" si="4"/>
        <v>0</v>
      </c>
      <c r="BF20" s="34">
        <f t="shared" si="34"/>
        <v>0</v>
      </c>
      <c r="BG20" s="22">
        <f t="shared" si="5"/>
        <v>0</v>
      </c>
      <c r="BI20" s="22">
        <f t="shared" si="6"/>
        <v>39.68</v>
      </c>
      <c r="BJ20" s="7"/>
      <c r="BK20" s="22">
        <f t="shared" si="7"/>
        <v>2853.104637407926</v>
      </c>
      <c r="BM20" s="22" t="str">
        <f>IF(Almonds!$D$18&lt;0,(+S20+W20+AA20+AE20+AH20+AL20+AT20+AX20+BA20+BD20+BG20+BI20+BK20)*Almonds!$D$18/100,IF(Almonds!$D$18&gt;0,(+S20+W20+AA20+AE20+AH20+AL20+AT20+AX20+BA20+BD20+BG20+BI20+BK20)*Almonds!$D$18/100,""))</f>
        <v/>
      </c>
      <c r="BO20" s="22">
        <f t="shared" si="35"/>
        <v>20165.214202633942</v>
      </c>
      <c r="BQ20" s="22">
        <f t="shared" si="8"/>
        <v>3610.6577757654413</v>
      </c>
      <c r="BR20" s="22">
        <f t="shared" si="9"/>
        <v>3610.6577757654413</v>
      </c>
      <c r="BT20" s="162">
        <f t="shared" si="36"/>
        <v>1.8025806854494923</v>
      </c>
      <c r="BU20" s="163">
        <f t="shared" si="37"/>
        <v>1.8025806854494923</v>
      </c>
      <c r="BW20" s="7">
        <f>+'Almonds Margin - Baseline'!BN18</f>
        <v>189.38101501404969</v>
      </c>
      <c r="BX20" s="7">
        <f>+'Almonds Margin - Baseline'!BO18</f>
        <v>213.55625466836082</v>
      </c>
      <c r="BY20" s="7">
        <f>+'Almonds Margin - Baseline'!BP18</f>
        <v>188.63131803393648</v>
      </c>
      <c r="BZ20" s="7">
        <f>+'Almonds Margin - Baseline'!BQ18</f>
        <v>124.56255613936351</v>
      </c>
    </row>
    <row r="21" spans="1:78" x14ac:dyDescent="0.2">
      <c r="A21" s="8">
        <f t="shared" si="10"/>
        <v>2035</v>
      </c>
      <c r="B21" s="34">
        <f t="shared" si="11"/>
        <v>9893.8305974629693</v>
      </c>
      <c r="C21" s="122">
        <f t="shared" si="50"/>
        <v>9.8938305974629692</v>
      </c>
      <c r="D21" s="122">
        <f t="shared" si="12"/>
        <v>9893.8305974629693</v>
      </c>
      <c r="E21" s="121">
        <f t="shared" si="13"/>
        <v>9.8938305974629692</v>
      </c>
      <c r="F21" s="122"/>
      <c r="G21" s="157">
        <f t="shared" si="38"/>
        <v>2.48</v>
      </c>
      <c r="H21" s="155">
        <f t="shared" si="39"/>
        <v>2.48</v>
      </c>
      <c r="J21" s="22">
        <f t="shared" si="0"/>
        <v>24536.699881708162</v>
      </c>
      <c r="K21" s="22">
        <f t="shared" si="1"/>
        <v>24536.699881708162</v>
      </c>
      <c r="L21" s="35"/>
      <c r="M21" s="28">
        <f t="shared" si="40"/>
        <v>557.54999999999995</v>
      </c>
      <c r="N21" s="14">
        <f t="shared" si="14"/>
        <v>6.7770566439636974</v>
      </c>
      <c r="O21" s="31">
        <f t="shared" si="15"/>
        <v>3778.5479318419593</v>
      </c>
      <c r="Q21" s="15">
        <f t="shared" si="41"/>
        <v>5</v>
      </c>
      <c r="R21" s="7">
        <f t="shared" si="16"/>
        <v>33.187645035881047</v>
      </c>
      <c r="S21" s="7">
        <f t="shared" si="17"/>
        <v>165.93822517940524</v>
      </c>
      <c r="U21" s="15">
        <f t="shared" si="42"/>
        <v>4</v>
      </c>
      <c r="V21" s="7">
        <f t="shared" si="18"/>
        <v>45.421228904212576</v>
      </c>
      <c r="W21" s="7">
        <f t="shared" si="19"/>
        <v>181.6849156168503</v>
      </c>
      <c r="Y21" s="15">
        <f t="shared" si="43"/>
        <v>2</v>
      </c>
      <c r="Z21" s="7">
        <f t="shared" si="20"/>
        <v>21.240591135952396</v>
      </c>
      <c r="AA21" s="22">
        <f t="shared" si="21"/>
        <v>42.481182271904792</v>
      </c>
      <c r="AB21" s="22"/>
      <c r="AC21" s="15">
        <f t="shared" si="44"/>
        <v>0</v>
      </c>
      <c r="AD21" s="7">
        <f t="shared" si="22"/>
        <v>0</v>
      </c>
      <c r="AE21" s="22">
        <f t="shared" si="23"/>
        <v>0</v>
      </c>
      <c r="AG21" s="15">
        <f t="shared" si="24"/>
        <v>4.6626950948747918</v>
      </c>
      <c r="AH21" s="22">
        <f t="shared" si="2"/>
        <v>11.563483835289484</v>
      </c>
      <c r="AJ21" s="7">
        <f t="shared" si="45"/>
        <v>75.84</v>
      </c>
      <c r="AK21" s="7">
        <f t="shared" si="25"/>
        <v>132.10969435478572</v>
      </c>
      <c r="AL21" s="22">
        <f t="shared" si="26"/>
        <v>10019.199219866949</v>
      </c>
      <c r="AN21" s="15">
        <f t="shared" si="46"/>
        <v>14</v>
      </c>
      <c r="AO21" s="7">
        <f t="shared" si="27"/>
        <v>150.69065063828216</v>
      </c>
      <c r="AP21" s="22">
        <f t="shared" si="28"/>
        <v>2109.6691089359501</v>
      </c>
      <c r="AQ21" s="22"/>
      <c r="AR21" s="15">
        <f t="shared" si="47"/>
        <v>5</v>
      </c>
      <c r="AS21" s="7">
        <f t="shared" si="29"/>
        <v>273.98300116051297</v>
      </c>
      <c r="AT21" s="22">
        <f t="shared" si="30"/>
        <v>1369.9150058025648</v>
      </c>
      <c r="AV21" s="7">
        <f t="shared" si="48"/>
        <v>0</v>
      </c>
      <c r="AW21" s="7">
        <f t="shared" si="31"/>
        <v>0</v>
      </c>
      <c r="AX21" s="22">
        <f t="shared" si="49"/>
        <v>0</v>
      </c>
      <c r="AZ21" s="34">
        <f t="shared" si="32"/>
        <v>0</v>
      </c>
      <c r="BA21" s="22">
        <f t="shared" si="3"/>
        <v>0</v>
      </c>
      <c r="BC21" s="34">
        <f t="shared" si="33"/>
        <v>0</v>
      </c>
      <c r="BD21" s="22">
        <f t="shared" si="4"/>
        <v>0</v>
      </c>
      <c r="BF21" s="34">
        <f t="shared" si="34"/>
        <v>0</v>
      </c>
      <c r="BG21" s="22">
        <f t="shared" si="5"/>
        <v>0</v>
      </c>
      <c r="BI21" s="22">
        <f t="shared" si="6"/>
        <v>39.68</v>
      </c>
      <c r="BJ21" s="7"/>
      <c r="BK21" s="22">
        <f t="shared" si="7"/>
        <v>2944.4039858049791</v>
      </c>
      <c r="BM21" s="22" t="str">
        <f>IF(Almonds!$D$18&lt;0,(+S21+W21+AA21+AE21+AH21+AL21+AT21+AX21+BA21+BD21+BG21+BI21+BK21)*Almonds!$D$18/100,IF(Almonds!$D$18&gt;0,(+S21+W21+AA21+AE21+AH21+AL21+AT21+AX21+BA21+BD21+BG21+BI21+BK21)*Almonds!$D$18/100,""))</f>
        <v/>
      </c>
      <c r="BO21" s="22">
        <f t="shared" si="35"/>
        <v>20663.083059155855</v>
      </c>
      <c r="BQ21" s="22">
        <f t="shared" si="8"/>
        <v>3873.616822552307</v>
      </c>
      <c r="BR21" s="22">
        <f t="shared" si="9"/>
        <v>3873.616822552307</v>
      </c>
      <c r="BT21" s="162">
        <f t="shared" si="36"/>
        <v>1.7877917472147791</v>
      </c>
      <c r="BU21" s="163">
        <f t="shared" si="37"/>
        <v>1.7877917472147791</v>
      </c>
      <c r="BW21" s="7">
        <f>+'Almonds Margin - Baseline'!BN19</f>
        <v>195.44120749449928</v>
      </c>
      <c r="BX21" s="7">
        <f>+'Almonds Margin - Baseline'!BO19</f>
        <v>220.39005481774836</v>
      </c>
      <c r="BY21" s="7">
        <f>+'Almonds Margin - Baseline'!BP19</f>
        <v>194.66752021102243</v>
      </c>
      <c r="BZ21" s="7">
        <f>+'Almonds Margin - Baseline'!BQ19</f>
        <v>124.19444115430356</v>
      </c>
    </row>
    <row r="22" spans="1:78" x14ac:dyDescent="0.2">
      <c r="A22" s="8">
        <f t="shared" si="10"/>
        <v>2036</v>
      </c>
      <c r="B22" s="34">
        <f t="shared" si="11"/>
        <v>10210.433176581786</v>
      </c>
      <c r="C22" s="122">
        <f t="shared" si="50"/>
        <v>10.210433176581786</v>
      </c>
      <c r="D22" s="122">
        <f t="shared" si="12"/>
        <v>10210.433176581786</v>
      </c>
      <c r="E22" s="121">
        <f t="shared" si="13"/>
        <v>10.210433176581786</v>
      </c>
      <c r="F22" s="122"/>
      <c r="G22" s="157">
        <f t="shared" si="38"/>
        <v>2.48</v>
      </c>
      <c r="H22" s="155">
        <f t="shared" si="39"/>
        <v>2.48</v>
      </c>
      <c r="J22" s="22">
        <f t="shared" si="0"/>
        <v>25321.874277922831</v>
      </c>
      <c r="K22" s="20">
        <f t="shared" si="1"/>
        <v>25321.874277922831</v>
      </c>
      <c r="L22" s="35"/>
      <c r="M22" s="28">
        <f t="shared" si="40"/>
        <v>557.54999999999995</v>
      </c>
      <c r="N22" s="14">
        <f t="shared" si="14"/>
        <v>6.6533546861611272</v>
      </c>
      <c r="O22" s="31">
        <f t="shared" si="15"/>
        <v>3709.5779052691364</v>
      </c>
      <c r="Q22" s="15">
        <f t="shared" si="41"/>
        <v>5</v>
      </c>
      <c r="R22" s="7">
        <f t="shared" si="16"/>
        <v>32.581869271936107</v>
      </c>
      <c r="S22" s="7">
        <f t="shared" si="17"/>
        <v>162.90934635968054</v>
      </c>
      <c r="U22" s="15">
        <f t="shared" si="42"/>
        <v>4</v>
      </c>
      <c r="V22" s="7">
        <f t="shared" si="18"/>
        <v>44.59215291496961</v>
      </c>
      <c r="W22" s="7">
        <f t="shared" si="19"/>
        <v>178.36861165987844</v>
      </c>
      <c r="Y22" s="15">
        <f t="shared" si="43"/>
        <v>2</v>
      </c>
      <c r="Z22" s="7">
        <f t="shared" si="20"/>
        <v>20.852885551295444</v>
      </c>
      <c r="AA22" s="22">
        <f t="shared" si="21"/>
        <v>41.705771102590887</v>
      </c>
      <c r="AB22" s="22"/>
      <c r="AC22" s="15">
        <f t="shared" si="44"/>
        <v>0</v>
      </c>
      <c r="AD22" s="7">
        <f t="shared" si="22"/>
        <v>0</v>
      </c>
      <c r="AE22" s="22">
        <f t="shared" si="23"/>
        <v>0</v>
      </c>
      <c r="AG22" s="15">
        <f t="shared" si="24"/>
        <v>4.8119013379107853</v>
      </c>
      <c r="AH22" s="22">
        <f t="shared" si="2"/>
        <v>11.933515318018747</v>
      </c>
      <c r="AJ22" s="7">
        <f t="shared" si="45"/>
        <v>75.84</v>
      </c>
      <c r="AK22" s="7">
        <f t="shared" si="25"/>
        <v>136.33720457413887</v>
      </c>
      <c r="AL22" s="22">
        <f t="shared" si="26"/>
        <v>10339.813594902693</v>
      </c>
      <c r="AN22" s="15">
        <f t="shared" si="46"/>
        <v>14</v>
      </c>
      <c r="AO22" s="7">
        <f t="shared" si="27"/>
        <v>155.51275145870719</v>
      </c>
      <c r="AP22" s="22">
        <f t="shared" si="28"/>
        <v>2177.1785204219004</v>
      </c>
      <c r="AQ22" s="22"/>
      <c r="AR22" s="15">
        <f t="shared" si="47"/>
        <v>5</v>
      </c>
      <c r="AS22" s="7">
        <f t="shared" si="29"/>
        <v>282.75045719764938</v>
      </c>
      <c r="AT22" s="22">
        <f t="shared" si="30"/>
        <v>1413.752285988247</v>
      </c>
      <c r="AV22" s="7">
        <f t="shared" si="48"/>
        <v>0</v>
      </c>
      <c r="AW22" s="7">
        <f t="shared" si="31"/>
        <v>0</v>
      </c>
      <c r="AX22" s="22">
        <f t="shared" si="49"/>
        <v>0</v>
      </c>
      <c r="AZ22" s="34">
        <f t="shared" si="32"/>
        <v>0</v>
      </c>
      <c r="BA22" s="22">
        <f t="shared" si="3"/>
        <v>0</v>
      </c>
      <c r="BC22" s="34">
        <f t="shared" si="33"/>
        <v>0</v>
      </c>
      <c r="BD22" s="22">
        <f t="shared" si="4"/>
        <v>0</v>
      </c>
      <c r="BF22" s="34">
        <f t="shared" si="34"/>
        <v>0</v>
      </c>
      <c r="BG22" s="22">
        <f t="shared" si="5"/>
        <v>0</v>
      </c>
      <c r="BI22" s="22">
        <f t="shared" si="6"/>
        <v>39.68</v>
      </c>
      <c r="BJ22" s="7"/>
      <c r="BK22" s="22">
        <f t="shared" si="7"/>
        <v>3038.6249133507395</v>
      </c>
      <c r="BM22" s="22" t="str">
        <f>IF(Almonds!$D$18&lt;0,(+S22+W22+AA22+AE22+AH22+AL22+AT22+AX22+BA22+BD22+BG22+BI22+BK22)*Almonds!$D$18/100,IF(Almonds!$D$18&gt;0,(+S22+W22+AA22+AE22+AH22+AL22+AT22+AX22+BA22+BD22+BG22+BI22+BK22)*Almonds!$D$18/100,""))</f>
        <v/>
      </c>
      <c r="BO22" s="22">
        <f t="shared" si="35"/>
        <v>21113.544464372888</v>
      </c>
      <c r="BQ22" s="22">
        <f t="shared" si="8"/>
        <v>4208.3298135499426</v>
      </c>
      <c r="BR22" s="21">
        <f t="shared" si="9"/>
        <v>4208.3298135499426</v>
      </c>
      <c r="BT22" s="162">
        <f t="shared" si="36"/>
        <v>1.7672507363176921</v>
      </c>
      <c r="BU22" s="163">
        <f t="shared" si="37"/>
        <v>1.7672507363176921</v>
      </c>
      <c r="BW22" s="7">
        <f>+'Almonds Margin - Baseline'!BN20</f>
        <v>201.69532613432327</v>
      </c>
      <c r="BX22" s="7">
        <f>+'Almonds Margin - Baseline'!BO20</f>
        <v>227.44253657191632</v>
      </c>
      <c r="BY22" s="7">
        <f>+'Almonds Margin - Baseline'!BP20</f>
        <v>200.89688085777516</v>
      </c>
      <c r="BZ22" s="7">
        <f>+'Almonds Margin - Baseline'!BQ20</f>
        <v>121.92751373638573</v>
      </c>
    </row>
    <row r="23" spans="1:78" x14ac:dyDescent="0.2">
      <c r="A23" s="8">
        <f t="shared" si="10"/>
        <v>2037</v>
      </c>
      <c r="B23" s="34">
        <f t="shared" si="11"/>
        <v>10537.167038232403</v>
      </c>
      <c r="C23" s="122">
        <f t="shared" si="50"/>
        <v>10.537167038232402</v>
      </c>
      <c r="D23" s="122">
        <f t="shared" si="12"/>
        <v>10537.167038232403</v>
      </c>
      <c r="E23" s="121">
        <f t="shared" si="13"/>
        <v>10.537167038232402</v>
      </c>
      <c r="F23" s="122"/>
      <c r="G23" s="157">
        <f t="shared" si="38"/>
        <v>2.48</v>
      </c>
      <c r="H23" s="155">
        <f t="shared" si="39"/>
        <v>2.48</v>
      </c>
      <c r="J23" s="22">
        <f t="shared" si="0"/>
        <v>26132.17425481636</v>
      </c>
      <c r="K23" s="22">
        <f t="shared" si="1"/>
        <v>26132.17425481636</v>
      </c>
      <c r="L23" s="35"/>
      <c r="M23" s="28">
        <f t="shared" si="40"/>
        <v>557.54999999999995</v>
      </c>
      <c r="N23" s="14">
        <f t="shared" si="14"/>
        <v>6.5446731622492926</v>
      </c>
      <c r="O23" s="31">
        <f t="shared" si="15"/>
        <v>3648.982521612093</v>
      </c>
      <c r="Q23" s="15">
        <f t="shared" si="41"/>
        <v>5</v>
      </c>
      <c r="R23" s="7">
        <f t="shared" si="16"/>
        <v>32.049649456309034</v>
      </c>
      <c r="S23" s="7">
        <f t="shared" si="17"/>
        <v>160.24824728154516</v>
      </c>
      <c r="U23" s="15">
        <f t="shared" si="42"/>
        <v>4</v>
      </c>
      <c r="V23" s="7">
        <f t="shared" si="18"/>
        <v>43.863746966104635</v>
      </c>
      <c r="W23" s="7">
        <f t="shared" si="19"/>
        <v>175.45498786441854</v>
      </c>
      <c r="Y23" s="15">
        <f t="shared" si="43"/>
        <v>2</v>
      </c>
      <c r="Z23" s="7">
        <f t="shared" si="20"/>
        <v>20.512256878005594</v>
      </c>
      <c r="AA23" s="22">
        <f t="shared" si="21"/>
        <v>41.024513756011189</v>
      </c>
      <c r="AB23" s="22"/>
      <c r="AC23" s="15">
        <f t="shared" si="44"/>
        <v>0</v>
      </c>
      <c r="AD23" s="7">
        <f t="shared" si="22"/>
        <v>0</v>
      </c>
      <c r="AE23" s="22">
        <f t="shared" si="23"/>
        <v>0</v>
      </c>
      <c r="AG23" s="15">
        <f t="shared" si="24"/>
        <v>4.9658821807239306</v>
      </c>
      <c r="AH23" s="22">
        <f t="shared" si="2"/>
        <v>12.315387808195348</v>
      </c>
      <c r="AJ23" s="7">
        <f t="shared" si="45"/>
        <v>75.84</v>
      </c>
      <c r="AK23" s="7">
        <f t="shared" si="25"/>
        <v>140.69999512051132</v>
      </c>
      <c r="AL23" s="22">
        <f t="shared" si="26"/>
        <v>10670.687629939579</v>
      </c>
      <c r="AN23" s="15">
        <f t="shared" si="46"/>
        <v>14</v>
      </c>
      <c r="AO23" s="7">
        <f t="shared" si="27"/>
        <v>160.4891595053858</v>
      </c>
      <c r="AP23" s="22">
        <f t="shared" si="28"/>
        <v>2246.8482330754014</v>
      </c>
      <c r="AQ23" s="22"/>
      <c r="AR23" s="15">
        <f t="shared" si="47"/>
        <v>5</v>
      </c>
      <c r="AS23" s="7">
        <f t="shared" si="29"/>
        <v>291.79847182797414</v>
      </c>
      <c r="AT23" s="22">
        <f t="shared" si="30"/>
        <v>1458.9923591398706</v>
      </c>
      <c r="AV23" s="7">
        <f t="shared" si="48"/>
        <v>0</v>
      </c>
      <c r="AW23" s="7">
        <f t="shared" si="31"/>
        <v>0</v>
      </c>
      <c r="AX23" s="22">
        <f t="shared" si="49"/>
        <v>0</v>
      </c>
      <c r="AZ23" s="34">
        <f t="shared" si="32"/>
        <v>0</v>
      </c>
      <c r="BA23" s="22">
        <f t="shared" si="3"/>
        <v>0</v>
      </c>
      <c r="BC23" s="34">
        <f t="shared" si="33"/>
        <v>0</v>
      </c>
      <c r="BD23" s="22">
        <f t="shared" si="4"/>
        <v>0</v>
      </c>
      <c r="BF23" s="34">
        <f t="shared" si="34"/>
        <v>0</v>
      </c>
      <c r="BG23" s="22">
        <f t="shared" si="5"/>
        <v>0</v>
      </c>
      <c r="BI23" s="22">
        <f t="shared" si="6"/>
        <v>39.68</v>
      </c>
      <c r="BJ23" s="7"/>
      <c r="BK23" s="22">
        <f t="shared" si="7"/>
        <v>3135.8609105779633</v>
      </c>
      <c r="BM23" s="22" t="str">
        <f>IF(Almonds!$D$18&lt;0,(+S23+W23+AA23+AE23+AH23+AL23+AT23+AX23+BA23+BD23+BG23+BI23+BK23)*Almonds!$D$18/100,IF(Almonds!$D$18&gt;0,(+S23+W23+AA23+AE23+AH23+AL23+AT23+AX23+BA23+BD23+BG23+BI23+BK23)*Almonds!$D$18/100,""))</f>
        <v/>
      </c>
      <c r="BO23" s="22">
        <f t="shared" si="35"/>
        <v>21590.094791055075</v>
      </c>
      <c r="BQ23" s="22">
        <f t="shared" si="8"/>
        <v>4542.0794637612853</v>
      </c>
      <c r="BR23" s="22">
        <f t="shared" si="9"/>
        <v>4542.0794637612853</v>
      </c>
      <c r="BT23" s="162">
        <f t="shared" si="36"/>
        <v>1.7484558551404581</v>
      </c>
      <c r="BU23" s="163">
        <f t="shared" si="37"/>
        <v>1.7484558551404581</v>
      </c>
      <c r="BW23" s="7">
        <f>+'Almonds Margin - Baseline'!BN21</f>
        <v>208.1495765706216</v>
      </c>
      <c r="BX23" s="7">
        <f>+'Almonds Margin - Baseline'!BO21</f>
        <v>234.72069774221765</v>
      </c>
      <c r="BY23" s="7">
        <f>+'Almonds Margin - Baseline'!BP21</f>
        <v>207.32558104522397</v>
      </c>
      <c r="BZ23" s="7">
        <f>+'Almonds Margin - Baseline'!BQ21</f>
        <v>119.93584658128668</v>
      </c>
    </row>
    <row r="24" spans="1:78" x14ac:dyDescent="0.2">
      <c r="A24" s="8">
        <f t="shared" si="10"/>
        <v>2038</v>
      </c>
      <c r="B24" s="34">
        <f t="shared" si="11"/>
        <v>10874.356383455839</v>
      </c>
      <c r="C24" s="122">
        <f t="shared" si="50"/>
        <v>10.874356383455838</v>
      </c>
      <c r="D24" s="122">
        <f t="shared" si="12"/>
        <v>10874.356383455839</v>
      </c>
      <c r="E24" s="121">
        <f t="shared" si="13"/>
        <v>10.874356383455838</v>
      </c>
      <c r="F24" s="122"/>
      <c r="G24" s="157">
        <f t="shared" si="38"/>
        <v>2.48</v>
      </c>
      <c r="H24" s="155">
        <f t="shared" si="39"/>
        <v>2.48</v>
      </c>
      <c r="J24" s="22">
        <f t="shared" si="0"/>
        <v>26968.403830970481</v>
      </c>
      <c r="K24" s="22">
        <f t="shared" si="1"/>
        <v>26968.403830970481</v>
      </c>
      <c r="L24" s="35"/>
      <c r="M24" s="28">
        <f t="shared" si="40"/>
        <v>557.54999999999995</v>
      </c>
      <c r="N24" s="14">
        <f t="shared" si="14"/>
        <v>6.4706479382137996</v>
      </c>
      <c r="O24" s="31">
        <f t="shared" si="15"/>
        <v>3607.7097579511037</v>
      </c>
      <c r="Q24" s="15">
        <f t="shared" si="41"/>
        <v>5</v>
      </c>
      <c r="R24" s="7">
        <f t="shared" si="16"/>
        <v>31.68714357978228</v>
      </c>
      <c r="S24" s="7">
        <f t="shared" si="17"/>
        <v>158.43571789891141</v>
      </c>
      <c r="U24" s="15">
        <f t="shared" si="42"/>
        <v>4</v>
      </c>
      <c r="V24" s="7">
        <f t="shared" si="18"/>
        <v>43.367614674131453</v>
      </c>
      <c r="W24" s="7">
        <f t="shared" si="19"/>
        <v>173.47045869652581</v>
      </c>
      <c r="Y24" s="15">
        <f t="shared" si="43"/>
        <v>2</v>
      </c>
      <c r="Z24" s="7">
        <f t="shared" si="20"/>
        <v>20.280247673997291</v>
      </c>
      <c r="AA24" s="22">
        <f t="shared" si="21"/>
        <v>40.560495347994582</v>
      </c>
      <c r="AB24" s="22"/>
      <c r="AC24" s="15">
        <f t="shared" si="44"/>
        <v>0</v>
      </c>
      <c r="AD24" s="7">
        <f t="shared" si="22"/>
        <v>0</v>
      </c>
      <c r="AE24" s="22">
        <f t="shared" si="23"/>
        <v>0</v>
      </c>
      <c r="AG24" s="15">
        <f t="shared" si="24"/>
        <v>5.1247904105070967</v>
      </c>
      <c r="AH24" s="22">
        <f t="shared" si="2"/>
        <v>12.7094802180576</v>
      </c>
      <c r="AJ24" s="7">
        <f t="shared" si="45"/>
        <v>75.84</v>
      </c>
      <c r="AK24" s="7">
        <f t="shared" si="25"/>
        <v>145.20239496436767</v>
      </c>
      <c r="AL24" s="22">
        <f t="shared" si="26"/>
        <v>11012.149634097645</v>
      </c>
      <c r="AN24" s="15">
        <f t="shared" si="46"/>
        <v>14</v>
      </c>
      <c r="AO24" s="7">
        <f t="shared" si="27"/>
        <v>165.62481260955815</v>
      </c>
      <c r="AP24" s="22">
        <f t="shared" si="28"/>
        <v>2318.7473765338141</v>
      </c>
      <c r="AQ24" s="22"/>
      <c r="AR24" s="15">
        <f t="shared" si="47"/>
        <v>5</v>
      </c>
      <c r="AS24" s="7">
        <f t="shared" si="29"/>
        <v>301.13602292646931</v>
      </c>
      <c r="AT24" s="22">
        <f t="shared" si="30"/>
        <v>1505.6801146323464</v>
      </c>
      <c r="AV24" s="7">
        <f t="shared" si="48"/>
        <v>0</v>
      </c>
      <c r="AW24" s="7">
        <f t="shared" si="31"/>
        <v>0</v>
      </c>
      <c r="AX24" s="22">
        <f t="shared" si="49"/>
        <v>0</v>
      </c>
      <c r="AZ24" s="34">
        <f t="shared" si="32"/>
        <v>0</v>
      </c>
      <c r="BA24" s="22">
        <f t="shared" si="3"/>
        <v>0</v>
      </c>
      <c r="BC24" s="34">
        <f t="shared" si="33"/>
        <v>0</v>
      </c>
      <c r="BD24" s="22">
        <f t="shared" si="4"/>
        <v>0</v>
      </c>
      <c r="BF24" s="34">
        <f t="shared" si="34"/>
        <v>0</v>
      </c>
      <c r="BG24" s="22">
        <f t="shared" si="5"/>
        <v>0</v>
      </c>
      <c r="BI24" s="22">
        <f t="shared" si="6"/>
        <v>39.68</v>
      </c>
      <c r="BJ24" s="7"/>
      <c r="BK24" s="22">
        <f t="shared" si="7"/>
        <v>3236.2084597164576</v>
      </c>
      <c r="BM24" s="22" t="str">
        <f>IF(Almonds!$D$18&lt;0,(+S24+W24+AA24+AE24+AH24+AL24+AT24+AX24+BA24+BD24+BG24+BI24+BK24)*Almonds!$D$18/100,IF(Almonds!$D$18&gt;0,(+S24+W24+AA24+AE24+AH24+AL24+AT24+AX24+BA24+BD24+BG24+BI24+BK24)*Almonds!$D$18/100,""))</f>
        <v/>
      </c>
      <c r="BO24" s="22">
        <f t="shared" si="35"/>
        <v>22105.351495092855</v>
      </c>
      <c r="BQ24" s="22">
        <f t="shared" si="8"/>
        <v>4863.0523358776263</v>
      </c>
      <c r="BR24" s="22">
        <f t="shared" si="9"/>
        <v>4863.0523358776263</v>
      </c>
      <c r="BT24" s="162">
        <f t="shared" si="36"/>
        <v>1.7324033567643593</v>
      </c>
      <c r="BU24" s="163">
        <f t="shared" si="37"/>
        <v>1.7324033567643593</v>
      </c>
      <c r="BW24" s="7">
        <f>+'Almonds Margin - Baseline'!BN22</f>
        <v>214.81036302088148</v>
      </c>
      <c r="BX24" s="7">
        <f>+'Almonds Margin - Baseline'!BO22</f>
        <v>242.23176006996863</v>
      </c>
      <c r="BY24" s="7">
        <f>+'Almonds Margin - Baseline'!BP22</f>
        <v>213.95999963867115</v>
      </c>
      <c r="BZ24" s="7">
        <f>+'Almonds Margin - Baseline'!BQ22</f>
        <v>118.57928106717092</v>
      </c>
    </row>
    <row r="25" spans="1:78" x14ac:dyDescent="0.2">
      <c r="A25" s="8">
        <f t="shared" si="10"/>
        <v>2039</v>
      </c>
      <c r="B25" s="34">
        <f t="shared" si="11"/>
        <v>11222.335787726428</v>
      </c>
      <c r="C25" s="122">
        <f t="shared" si="50"/>
        <v>11.222335787726427</v>
      </c>
      <c r="D25" s="122">
        <f t="shared" si="12"/>
        <v>11222.335787726428</v>
      </c>
      <c r="E25" s="121">
        <f t="shared" si="13"/>
        <v>11.222335787726427</v>
      </c>
      <c r="F25" s="122"/>
      <c r="G25" s="157">
        <f t="shared" si="38"/>
        <v>2.48</v>
      </c>
      <c r="H25" s="155">
        <f t="shared" si="39"/>
        <v>2.48</v>
      </c>
      <c r="J25" s="22">
        <f t="shared" si="0"/>
        <v>27831.39275356154</v>
      </c>
      <c r="K25" s="20">
        <f t="shared" si="1"/>
        <v>27831.39275356154</v>
      </c>
      <c r="L25" s="35"/>
      <c r="M25" s="28">
        <f t="shared" si="40"/>
        <v>557.54999999999995</v>
      </c>
      <c r="N25" s="14">
        <f t="shared" si="14"/>
        <v>6.4190967571986217</v>
      </c>
      <c r="O25" s="31">
        <f t="shared" si="15"/>
        <v>3578.9673969760911</v>
      </c>
      <c r="Q25" s="15">
        <f t="shared" si="41"/>
        <v>5</v>
      </c>
      <c r="R25" s="7">
        <f t="shared" si="16"/>
        <v>31.43469441392854</v>
      </c>
      <c r="S25" s="7">
        <f t="shared" si="17"/>
        <v>157.17347206964268</v>
      </c>
      <c r="U25" s="15">
        <f t="shared" si="42"/>
        <v>4</v>
      </c>
      <c r="V25" s="7">
        <f t="shared" si="18"/>
        <v>43.022108045489283</v>
      </c>
      <c r="W25" s="7">
        <f t="shared" si="19"/>
        <v>172.08843218195713</v>
      </c>
      <c r="Y25" s="15">
        <f t="shared" si="43"/>
        <v>2</v>
      </c>
      <c r="Z25" s="7">
        <f t="shared" si="20"/>
        <v>20.118676417322881</v>
      </c>
      <c r="AA25" s="22">
        <f t="shared" si="21"/>
        <v>40.237352834645762</v>
      </c>
      <c r="AB25" s="22"/>
      <c r="AC25" s="15">
        <f t="shared" si="44"/>
        <v>0</v>
      </c>
      <c r="AD25" s="7">
        <f t="shared" si="22"/>
        <v>0</v>
      </c>
      <c r="AE25" s="22">
        <f t="shared" si="23"/>
        <v>0</v>
      </c>
      <c r="AG25" s="15">
        <f t="shared" si="24"/>
        <v>5.2887837036433236</v>
      </c>
      <c r="AH25" s="22">
        <f t="shared" si="2"/>
        <v>13.116183585035442</v>
      </c>
      <c r="AJ25" s="7">
        <f t="shared" si="45"/>
        <v>75.84</v>
      </c>
      <c r="AK25" s="7">
        <f t="shared" si="25"/>
        <v>149.84887160322745</v>
      </c>
      <c r="AL25" s="22">
        <f t="shared" si="26"/>
        <v>11364.53842238877</v>
      </c>
      <c r="AN25" s="15">
        <f t="shared" si="46"/>
        <v>14</v>
      </c>
      <c r="AO25" s="7">
        <f t="shared" si="27"/>
        <v>170.92480661306402</v>
      </c>
      <c r="AP25" s="22">
        <f t="shared" si="28"/>
        <v>2392.9472925828964</v>
      </c>
      <c r="AQ25" s="22"/>
      <c r="AR25" s="15">
        <f t="shared" si="47"/>
        <v>5</v>
      </c>
      <c r="AS25" s="7">
        <f t="shared" si="29"/>
        <v>310.77237566011638</v>
      </c>
      <c r="AT25" s="22">
        <f t="shared" si="30"/>
        <v>1553.8618783005818</v>
      </c>
      <c r="AV25" s="7">
        <f t="shared" si="48"/>
        <v>0</v>
      </c>
      <c r="AW25" s="7">
        <f t="shared" si="31"/>
        <v>0</v>
      </c>
      <c r="AX25" s="22">
        <f t="shared" si="49"/>
        <v>0</v>
      </c>
      <c r="AZ25" s="34">
        <f t="shared" si="32"/>
        <v>0</v>
      </c>
      <c r="BA25" s="22">
        <f t="shared" si="3"/>
        <v>0</v>
      </c>
      <c r="BC25" s="34">
        <f t="shared" si="33"/>
        <v>0</v>
      </c>
      <c r="BD25" s="22">
        <f t="shared" si="4"/>
        <v>0</v>
      </c>
      <c r="BF25" s="34">
        <f t="shared" si="34"/>
        <v>0</v>
      </c>
      <c r="BG25" s="22">
        <f t="shared" si="5"/>
        <v>0</v>
      </c>
      <c r="BI25" s="22">
        <f t="shared" si="6"/>
        <v>39.68</v>
      </c>
      <c r="BJ25" s="7"/>
      <c r="BK25" s="22">
        <f t="shared" si="7"/>
        <v>3339.7671304273849</v>
      </c>
      <c r="BM25" s="22" t="str">
        <f>IF(Almonds!$D$18&lt;0,(+S25+W25+AA25+AE25+AH25+AL25+AT25+AX25+BA25+BD25+BG25+BI25+BK25)*Almonds!$D$18/100,IF(Almonds!$D$18&gt;0,(+S25+W25+AA25+AE25+AH25+AL25+AT25+AX25+BA25+BD25+BG25+BI25+BK25)*Almonds!$D$18/100,""))</f>
        <v/>
      </c>
      <c r="BO25" s="22">
        <f t="shared" si="35"/>
        <v>22652.377561347006</v>
      </c>
      <c r="BQ25" s="22">
        <f t="shared" si="8"/>
        <v>5179.0151922145342</v>
      </c>
      <c r="BR25" s="21">
        <f t="shared" si="9"/>
        <v>5179.0151922145342</v>
      </c>
      <c r="BT25" s="162">
        <f t="shared" si="36"/>
        <v>1.7182118762504033</v>
      </c>
      <c r="BU25" s="163">
        <f t="shared" si="37"/>
        <v>1.7182118762504033</v>
      </c>
      <c r="BW25" s="7">
        <f>+'Almonds Margin - Baseline'!BN23</f>
        <v>221.6842946375497</v>
      </c>
      <c r="BX25" s="7">
        <f>+'Almonds Margin - Baseline'!BO23</f>
        <v>249.98317639220764</v>
      </c>
      <c r="BY25" s="7">
        <f>+'Almonds Margin - Baseline'!BP23</f>
        <v>220.80671962710863</v>
      </c>
      <c r="BZ25" s="7">
        <f>+'Almonds Margin - Baseline'!BQ23</f>
        <v>117.63456856831245</v>
      </c>
    </row>
    <row r="26" spans="1:78" x14ac:dyDescent="0.2">
      <c r="A26" s="8">
        <f t="shared" si="10"/>
        <v>2040</v>
      </c>
      <c r="B26" s="34">
        <f t="shared" si="11"/>
        <v>11581.450532933675</v>
      </c>
      <c r="C26" s="122">
        <f t="shared" si="50"/>
        <v>11.581450532933676</v>
      </c>
      <c r="D26" s="122">
        <f t="shared" si="12"/>
        <v>11581.450532933675</v>
      </c>
      <c r="E26" s="121">
        <f t="shared" si="13"/>
        <v>11.581450532933676</v>
      </c>
      <c r="F26" s="122"/>
      <c r="G26" s="157">
        <f t="shared" si="38"/>
        <v>2.48</v>
      </c>
      <c r="H26" s="155">
        <f t="shared" si="39"/>
        <v>2.48</v>
      </c>
      <c r="J26" s="22">
        <f t="shared" si="0"/>
        <v>28721.997321675513</v>
      </c>
      <c r="K26" s="22">
        <f t="shared" si="1"/>
        <v>28721.997321675513</v>
      </c>
      <c r="L26" s="35"/>
      <c r="M26" s="28">
        <f t="shared" si="40"/>
        <v>557.54999999999995</v>
      </c>
      <c r="N26" s="14">
        <f t="shared" si="14"/>
        <v>6.4006110807257315</v>
      </c>
      <c r="O26" s="31">
        <f t="shared" si="15"/>
        <v>3568.6607080586314</v>
      </c>
      <c r="Q26" s="15">
        <f t="shared" si="41"/>
        <v>5</v>
      </c>
      <c r="R26" s="7">
        <f t="shared" si="16"/>
        <v>31.344168968848059</v>
      </c>
      <c r="S26" s="7">
        <f t="shared" si="17"/>
        <v>156.7208448442403</v>
      </c>
      <c r="U26" s="15">
        <f t="shared" si="42"/>
        <v>4</v>
      </c>
      <c r="V26" s="7">
        <f t="shared" si="18"/>
        <v>42.898213235893401</v>
      </c>
      <c r="W26" s="7">
        <f t="shared" si="19"/>
        <v>171.5928529435736</v>
      </c>
      <c r="Y26" s="15">
        <f t="shared" si="43"/>
        <v>2</v>
      </c>
      <c r="Z26" s="7">
        <f t="shared" si="20"/>
        <v>20.060738773230458</v>
      </c>
      <c r="AA26" s="22">
        <f t="shared" si="21"/>
        <v>40.121477546460916</v>
      </c>
      <c r="AB26" s="22"/>
      <c r="AC26" s="15">
        <f t="shared" si="44"/>
        <v>0</v>
      </c>
      <c r="AD26" s="7">
        <f t="shared" si="22"/>
        <v>0</v>
      </c>
      <c r="AE26" s="22">
        <f t="shared" si="23"/>
        <v>0</v>
      </c>
      <c r="AG26" s="15">
        <f t="shared" si="24"/>
        <v>5.4580247821599102</v>
      </c>
      <c r="AH26" s="22">
        <f t="shared" si="2"/>
        <v>13.535901459756577</v>
      </c>
      <c r="AJ26" s="7">
        <f t="shared" si="45"/>
        <v>75.84</v>
      </c>
      <c r="AK26" s="7">
        <f t="shared" si="25"/>
        <v>154.64403549453073</v>
      </c>
      <c r="AL26" s="22">
        <f t="shared" si="26"/>
        <v>11728.203651905211</v>
      </c>
      <c r="AN26" s="15">
        <f t="shared" si="46"/>
        <v>14</v>
      </c>
      <c r="AO26" s="7">
        <f t="shared" si="27"/>
        <v>176.39440042468206</v>
      </c>
      <c r="AP26" s="22">
        <f t="shared" si="28"/>
        <v>2469.5216059455488</v>
      </c>
      <c r="AQ26" s="22"/>
      <c r="AR26" s="15">
        <f t="shared" si="47"/>
        <v>5</v>
      </c>
      <c r="AS26" s="7">
        <f t="shared" si="29"/>
        <v>320.71709168124011</v>
      </c>
      <c r="AT26" s="22">
        <f t="shared" si="30"/>
        <v>1603.5854584062006</v>
      </c>
      <c r="AV26" s="7">
        <f t="shared" si="48"/>
        <v>0</v>
      </c>
      <c r="AW26" s="7">
        <f t="shared" si="31"/>
        <v>0</v>
      </c>
      <c r="AX26" s="22">
        <f t="shared" si="49"/>
        <v>0</v>
      </c>
      <c r="AZ26" s="34">
        <f t="shared" si="32"/>
        <v>0</v>
      </c>
      <c r="BA26" s="22">
        <f t="shared" si="3"/>
        <v>0</v>
      </c>
      <c r="BC26" s="34">
        <f t="shared" si="33"/>
        <v>0</v>
      </c>
      <c r="BD26" s="22">
        <f t="shared" si="4"/>
        <v>0</v>
      </c>
      <c r="BF26" s="34">
        <f t="shared" si="34"/>
        <v>0</v>
      </c>
      <c r="BG26" s="22">
        <f t="shared" si="5"/>
        <v>0</v>
      </c>
      <c r="BI26" s="22">
        <f t="shared" si="6"/>
        <v>39.68</v>
      </c>
      <c r="BJ26" s="7"/>
      <c r="BK26" s="22">
        <f t="shared" si="7"/>
        <v>3446.6396786010614</v>
      </c>
      <c r="BM26" s="22" t="str">
        <f>IF(Almonds!$D$18&lt;0,(+S26+W26+AA26+AE26+AH26+AL26+AT26+AX26+BA26+BD26+BG26+BI26+BK26)*Almonds!$D$18/100,IF(Almonds!$D$18&gt;0,(+S26+W26+AA26+AE26+AH26+AL26+AT26+AX26+BA26+BD26+BG26+BI26+BK26)*Almonds!$D$18/100,""))</f>
        <v/>
      </c>
      <c r="BO26" s="22">
        <f t="shared" si="35"/>
        <v>23238.262179710684</v>
      </c>
      <c r="BQ26" s="22">
        <f t="shared" si="8"/>
        <v>5483.7351419648294</v>
      </c>
      <c r="BR26" s="22">
        <f t="shared" si="9"/>
        <v>5483.7351419648294</v>
      </c>
      <c r="BT26" s="162">
        <f t="shared" si="36"/>
        <v>1.7063063852447282</v>
      </c>
      <c r="BU26" s="163">
        <f t="shared" si="37"/>
        <v>1.7063063852447282</v>
      </c>
      <c r="BW26" s="7">
        <f>+'Almonds Margin - Baseline'!BN24</f>
        <v>228.77819206595129</v>
      </c>
      <c r="BX26" s="7">
        <f>+'Almonds Margin - Baseline'!BO24</f>
        <v>257.98263803675826</v>
      </c>
      <c r="BY26" s="7">
        <f>+'Almonds Margin - Baseline'!BP24</f>
        <v>227.87253465517611</v>
      </c>
      <c r="BZ26" s="7">
        <f>+'Almonds Margin - Baseline'!BQ24</f>
        <v>117.29580524087962</v>
      </c>
    </row>
    <row r="27" spans="1:78" x14ac:dyDescent="0.2">
      <c r="A27" s="8">
        <f t="shared" si="10"/>
        <v>2041</v>
      </c>
      <c r="B27" s="34">
        <f t="shared" si="11"/>
        <v>11952.056949987555</v>
      </c>
      <c r="C27" s="122">
        <f t="shared" si="50"/>
        <v>11.952056949987554</v>
      </c>
      <c r="D27" s="122">
        <f t="shared" si="12"/>
        <v>11952.056949987555</v>
      </c>
      <c r="E27" s="121">
        <f t="shared" si="13"/>
        <v>11.952056949987554</v>
      </c>
      <c r="F27" s="122"/>
      <c r="G27" s="157">
        <f t="shared" si="38"/>
        <v>2.48</v>
      </c>
      <c r="H27" s="155">
        <f t="shared" si="39"/>
        <v>2.48</v>
      </c>
      <c r="J27" s="22">
        <f t="shared" si="0"/>
        <v>29641.101235969134</v>
      </c>
      <c r="K27" s="22">
        <f t="shared" si="1"/>
        <v>29641.101235969134</v>
      </c>
      <c r="L27" s="35"/>
      <c r="M27" s="28">
        <f t="shared" si="40"/>
        <v>557.54999999999995</v>
      </c>
      <c r="N27" s="14">
        <f t="shared" si="14"/>
        <v>6.4051460753658853</v>
      </c>
      <c r="O27" s="31">
        <f t="shared" si="15"/>
        <v>3571.189194320249</v>
      </c>
      <c r="Q27" s="15">
        <f t="shared" si="41"/>
        <v>5</v>
      </c>
      <c r="R27" s="7">
        <f t="shared" si="16"/>
        <v>31.366377104365288</v>
      </c>
      <c r="S27" s="7">
        <f t="shared" si="17"/>
        <v>156.83188552182645</v>
      </c>
      <c r="U27" s="15">
        <f t="shared" si="42"/>
        <v>4</v>
      </c>
      <c r="V27" s="7">
        <f t="shared" si="18"/>
        <v>42.928607703647081</v>
      </c>
      <c r="W27" s="7">
        <f t="shared" si="19"/>
        <v>171.71443081458833</v>
      </c>
      <c r="Y27" s="15">
        <f t="shared" si="43"/>
        <v>2</v>
      </c>
      <c r="Z27" s="7">
        <f t="shared" si="20"/>
        <v>20.074952313416972</v>
      </c>
      <c r="AA27" s="22">
        <f t="shared" si="21"/>
        <v>40.149904626833944</v>
      </c>
      <c r="AB27" s="22"/>
      <c r="AC27" s="15">
        <f t="shared" si="44"/>
        <v>0</v>
      </c>
      <c r="AD27" s="7">
        <f t="shared" si="22"/>
        <v>0</v>
      </c>
      <c r="AE27" s="22">
        <f t="shared" si="23"/>
        <v>0</v>
      </c>
      <c r="AG27" s="15">
        <f t="shared" si="24"/>
        <v>5.6326815751890278</v>
      </c>
      <c r="AH27" s="22">
        <f t="shared" si="2"/>
        <v>13.969050306468789</v>
      </c>
      <c r="AJ27" s="7">
        <f t="shared" si="45"/>
        <v>75.84</v>
      </c>
      <c r="AK27" s="7">
        <f t="shared" si="25"/>
        <v>159.59264463035572</v>
      </c>
      <c r="AL27" s="22">
        <f t="shared" si="26"/>
        <v>12103.506168766178</v>
      </c>
      <c r="AN27" s="15">
        <f t="shared" si="46"/>
        <v>14</v>
      </c>
      <c r="AO27" s="7">
        <f t="shared" si="27"/>
        <v>182.03902123827189</v>
      </c>
      <c r="AP27" s="22">
        <f t="shared" si="28"/>
        <v>2548.5462973358062</v>
      </c>
      <c r="AQ27" s="22"/>
      <c r="AR27" s="15">
        <f t="shared" si="47"/>
        <v>5</v>
      </c>
      <c r="AS27" s="7">
        <f t="shared" si="29"/>
        <v>330.98003861503986</v>
      </c>
      <c r="AT27" s="22">
        <f t="shared" si="30"/>
        <v>1654.9001930751992</v>
      </c>
      <c r="AV27" s="7">
        <f t="shared" si="48"/>
        <v>0</v>
      </c>
      <c r="AW27" s="7">
        <f t="shared" si="31"/>
        <v>0</v>
      </c>
      <c r="AX27" s="22">
        <f t="shared" si="49"/>
        <v>0</v>
      </c>
      <c r="AZ27" s="34">
        <f t="shared" si="32"/>
        <v>0</v>
      </c>
      <c r="BA27" s="22">
        <f t="shared" si="3"/>
        <v>0</v>
      </c>
      <c r="BC27" s="34">
        <f t="shared" si="33"/>
        <v>0</v>
      </c>
      <c r="BD27" s="22">
        <f t="shared" si="4"/>
        <v>0</v>
      </c>
      <c r="BF27" s="34">
        <f t="shared" si="34"/>
        <v>0</v>
      </c>
      <c r="BG27" s="22">
        <f t="shared" si="5"/>
        <v>0</v>
      </c>
      <c r="BI27" s="22">
        <f t="shared" si="6"/>
        <v>39.68</v>
      </c>
      <c r="BJ27" s="7"/>
      <c r="BK27" s="22">
        <f t="shared" si="7"/>
        <v>3556.9321483162958</v>
      </c>
      <c r="BM27" s="22" t="str">
        <f>IF(Almonds!$D$18&lt;0,(+S27+W27+AA27+AE27+AH27+AL27+AT27+AX27+BA27+BD27+BG27+BI27+BK27)*Almonds!$D$18/100,IF(Almonds!$D$18&gt;0,(+S27+W27+AA27+AE27+AH27+AL27+AT27+AX27+BA27+BD27+BG27+BI27+BK27)*Almonds!$D$18/100,""))</f>
        <v/>
      </c>
      <c r="BO27" s="22">
        <f t="shared" si="35"/>
        <v>23857.419273083444</v>
      </c>
      <c r="BQ27" s="22">
        <f t="shared" si="8"/>
        <v>5783.6819628856902</v>
      </c>
      <c r="BR27" s="22">
        <f t="shared" si="9"/>
        <v>5783.6819628856902</v>
      </c>
      <c r="BT27" s="162">
        <f t="shared" si="36"/>
        <v>1.6959866809995221</v>
      </c>
      <c r="BU27" s="163">
        <f t="shared" si="37"/>
        <v>1.6959866809995221</v>
      </c>
      <c r="BW27" s="7">
        <f>+'Almonds Margin - Baseline'!BN25</f>
        <v>236.09909421206174</v>
      </c>
      <c r="BX27" s="7">
        <f>+'Almonds Margin - Baseline'!BO25</f>
        <v>266.23808245393451</v>
      </c>
      <c r="BY27" s="7">
        <f>+'Almonds Margin - Baseline'!BP25</f>
        <v>235.16445576414174</v>
      </c>
      <c r="BZ27" s="7">
        <f>+'Almonds Margin - Baseline'!BQ25</f>
        <v>117.37891228196852</v>
      </c>
    </row>
    <row r="28" spans="1:78" x14ac:dyDescent="0.2">
      <c r="A28" s="8">
        <f t="shared" si="10"/>
        <v>2042</v>
      </c>
      <c r="B28" s="34">
        <f t="shared" si="11"/>
        <v>12334.522772387156</v>
      </c>
      <c r="C28" s="122">
        <f t="shared" si="50"/>
        <v>12.334522772387157</v>
      </c>
      <c r="D28" s="122">
        <f t="shared" si="12"/>
        <v>12334.522772387156</v>
      </c>
      <c r="E28" s="121">
        <f t="shared" si="13"/>
        <v>12.334522772387157</v>
      </c>
      <c r="F28" s="122"/>
      <c r="G28" s="157">
        <f t="shared" si="38"/>
        <v>2.48</v>
      </c>
      <c r="H28" s="155">
        <f t="shared" si="39"/>
        <v>2.48</v>
      </c>
      <c r="J28" s="22">
        <f t="shared" si="0"/>
        <v>30589.616475520146</v>
      </c>
      <c r="K28" s="20">
        <f t="shared" si="1"/>
        <v>30589.616475520146</v>
      </c>
      <c r="L28" s="35"/>
      <c r="M28" s="28">
        <f t="shared" si="40"/>
        <v>557.54999999999995</v>
      </c>
      <c r="N28" s="14">
        <f t="shared" si="14"/>
        <v>6.4379408461716539</v>
      </c>
      <c r="O28" s="31">
        <f t="shared" si="15"/>
        <v>3589.4739187830055</v>
      </c>
      <c r="Q28" s="15">
        <f t="shared" si="41"/>
        <v>5</v>
      </c>
      <c r="R28" s="7">
        <f t="shared" si="16"/>
        <v>31.526975026105305</v>
      </c>
      <c r="S28" s="7">
        <f t="shared" si="17"/>
        <v>157.63487513052652</v>
      </c>
      <c r="U28" s="15">
        <f t="shared" si="42"/>
        <v>4</v>
      </c>
      <c r="V28" s="7">
        <f t="shared" si="18"/>
        <v>43.148405009451928</v>
      </c>
      <c r="W28" s="7">
        <f t="shared" si="19"/>
        <v>172.59362003780771</v>
      </c>
      <c r="Y28" s="15">
        <f t="shared" si="43"/>
        <v>2</v>
      </c>
      <c r="Z28" s="7">
        <f t="shared" si="20"/>
        <v>20.177737394710789</v>
      </c>
      <c r="AA28" s="22">
        <f t="shared" si="21"/>
        <v>40.355474789421578</v>
      </c>
      <c r="AB28" s="22"/>
      <c r="AC28" s="15">
        <f t="shared" si="44"/>
        <v>0</v>
      </c>
      <c r="AD28" s="7">
        <f t="shared" si="22"/>
        <v>0</v>
      </c>
      <c r="AE28" s="22">
        <f t="shared" si="23"/>
        <v>0</v>
      </c>
      <c r="AG28" s="15">
        <f t="shared" si="24"/>
        <v>5.8129273855950769</v>
      </c>
      <c r="AH28" s="22">
        <f t="shared" si="2"/>
        <v>14.41605991627579</v>
      </c>
      <c r="AJ28" s="7">
        <f t="shared" si="45"/>
        <v>75.84</v>
      </c>
      <c r="AK28" s="7">
        <f t="shared" si="25"/>
        <v>164.69960925852712</v>
      </c>
      <c r="AL28" s="22">
        <f t="shared" si="26"/>
        <v>12490.818366166697</v>
      </c>
      <c r="AN28" s="15">
        <f t="shared" si="46"/>
        <v>14</v>
      </c>
      <c r="AO28" s="7">
        <f t="shared" si="27"/>
        <v>187.86426991789659</v>
      </c>
      <c r="AP28" s="22">
        <f t="shared" si="28"/>
        <v>2630.0997788505524</v>
      </c>
      <c r="AQ28" s="22"/>
      <c r="AR28" s="15">
        <f t="shared" si="47"/>
        <v>5</v>
      </c>
      <c r="AS28" s="7">
        <f t="shared" si="29"/>
        <v>341.57139985072109</v>
      </c>
      <c r="AT28" s="22">
        <f t="shared" si="30"/>
        <v>1707.8569992536054</v>
      </c>
      <c r="AV28" s="7">
        <f t="shared" si="48"/>
        <v>0</v>
      </c>
      <c r="AW28" s="7">
        <f t="shared" si="31"/>
        <v>0</v>
      </c>
      <c r="AX28" s="22">
        <f t="shared" si="49"/>
        <v>0</v>
      </c>
      <c r="AZ28" s="34">
        <f t="shared" si="32"/>
        <v>0</v>
      </c>
      <c r="BA28" s="22">
        <f t="shared" si="3"/>
        <v>0</v>
      </c>
      <c r="BC28" s="34">
        <f t="shared" si="33"/>
        <v>0</v>
      </c>
      <c r="BD28" s="22">
        <f t="shared" si="4"/>
        <v>0</v>
      </c>
      <c r="BF28" s="34">
        <f t="shared" si="34"/>
        <v>0</v>
      </c>
      <c r="BG28" s="22">
        <f t="shared" si="5"/>
        <v>0</v>
      </c>
      <c r="BI28" s="22">
        <f t="shared" si="6"/>
        <v>39.68</v>
      </c>
      <c r="BJ28" s="7"/>
      <c r="BK28" s="22">
        <f t="shared" si="7"/>
        <v>3670.7539770624176</v>
      </c>
      <c r="BM28" s="22" t="str">
        <f>IF(Almonds!$D$18&lt;0,(+S28+W28+AA28+AE28+AH28+AL28+AT28+AX28+BA28+BD28+BG28+BI28+BK28)*Almonds!$D$18/100,IF(Almonds!$D$18&gt;0,(+S28+W28+AA28+AE28+AH28+AL28+AT28+AX28+BA28+BD28+BG28+BI28+BK28)*Almonds!$D$18/100,""))</f>
        <v/>
      </c>
      <c r="BO28" s="22">
        <f t="shared" si="35"/>
        <v>24513.683069990311</v>
      </c>
      <c r="BQ28" s="22">
        <f t="shared" si="8"/>
        <v>6075.933405529835</v>
      </c>
      <c r="BR28" s="21">
        <f t="shared" si="9"/>
        <v>6075.933405529835</v>
      </c>
      <c r="BT28" s="162">
        <f t="shared" si="36"/>
        <v>1.6873906629370645</v>
      </c>
      <c r="BU28" s="163">
        <f t="shared" si="37"/>
        <v>1.6873906629370645</v>
      </c>
      <c r="BW28" s="7">
        <f>+'Almonds Margin - Baseline'!BN26</f>
        <v>243.65426522684771</v>
      </c>
      <c r="BX28" s="7">
        <f>+'Almonds Margin - Baseline'!BO26</f>
        <v>274.75770109246042</v>
      </c>
      <c r="BY28" s="7">
        <f>+'Almonds Margin - Baseline'!BP26</f>
        <v>242.68971834859428</v>
      </c>
      <c r="BZ28" s="7">
        <f>+'Almonds Margin - Baseline'!BQ26</f>
        <v>117.9799000627972</v>
      </c>
    </row>
    <row r="29" spans="1:78" x14ac:dyDescent="0.2">
      <c r="A29" s="8">
        <f t="shared" si="10"/>
        <v>2043</v>
      </c>
      <c r="B29" s="34">
        <f t="shared" si="11"/>
        <v>12729.227501103544</v>
      </c>
      <c r="C29" s="122">
        <f t="shared" si="50"/>
        <v>12.729227501103544</v>
      </c>
      <c r="D29" s="122">
        <f t="shared" si="12"/>
        <v>12729.227501103544</v>
      </c>
      <c r="E29" s="121">
        <f t="shared" si="13"/>
        <v>12.729227501103544</v>
      </c>
      <c r="F29" s="122"/>
      <c r="G29" s="157">
        <f t="shared" si="38"/>
        <v>2.48</v>
      </c>
      <c r="H29" s="155">
        <f t="shared" si="39"/>
        <v>2.48</v>
      </c>
      <c r="J29" s="22">
        <f t="shared" si="0"/>
        <v>31568.484202736789</v>
      </c>
      <c r="K29" s="22">
        <f t="shared" si="1"/>
        <v>31568.484202736789</v>
      </c>
      <c r="L29" s="35"/>
      <c r="M29" s="28">
        <f t="shared" si="40"/>
        <v>557.54999999999995</v>
      </c>
      <c r="N29" s="14">
        <f t="shared" si="14"/>
        <v>6.4903024438501484</v>
      </c>
      <c r="O29" s="31">
        <f t="shared" si="15"/>
        <v>3618.6681275686501</v>
      </c>
      <c r="Q29" s="15">
        <f t="shared" si="41"/>
        <v>5</v>
      </c>
      <c r="R29" s="7">
        <f t="shared" si="16"/>
        <v>31.783392850030875</v>
      </c>
      <c r="S29" s="7">
        <f t="shared" si="17"/>
        <v>158.91696425015436</v>
      </c>
      <c r="U29" s="15">
        <f t="shared" si="42"/>
        <v>4</v>
      </c>
      <c r="V29" s="7">
        <f t="shared" si="18"/>
        <v>43.499343217422137</v>
      </c>
      <c r="W29" s="7">
        <f t="shared" si="19"/>
        <v>173.99737286968855</v>
      </c>
      <c r="Y29" s="15">
        <f t="shared" si="43"/>
        <v>2</v>
      </c>
      <c r="Z29" s="7">
        <f t="shared" si="20"/>
        <v>20.34184865214063</v>
      </c>
      <c r="AA29" s="22">
        <f t="shared" si="21"/>
        <v>40.68369730428126</v>
      </c>
      <c r="AB29" s="22"/>
      <c r="AC29" s="15">
        <f t="shared" si="44"/>
        <v>0</v>
      </c>
      <c r="AD29" s="7">
        <f t="shared" si="22"/>
        <v>0</v>
      </c>
      <c r="AE29" s="22">
        <f t="shared" si="23"/>
        <v>0</v>
      </c>
      <c r="AG29" s="15">
        <f t="shared" si="24"/>
        <v>5.9989410619341195</v>
      </c>
      <c r="AH29" s="22">
        <f t="shared" si="2"/>
        <v>14.877373833596616</v>
      </c>
      <c r="AJ29" s="7">
        <f t="shared" si="45"/>
        <v>75.84</v>
      </c>
      <c r="AK29" s="7">
        <f t="shared" si="25"/>
        <v>169.96999675479998</v>
      </c>
      <c r="AL29" s="22">
        <f t="shared" si="26"/>
        <v>12890.524553884032</v>
      </c>
      <c r="AN29" s="15">
        <f t="shared" si="46"/>
        <v>14</v>
      </c>
      <c r="AO29" s="7">
        <f t="shared" si="27"/>
        <v>193.8759265552693</v>
      </c>
      <c r="AP29" s="22">
        <f t="shared" si="28"/>
        <v>2714.26297177377</v>
      </c>
      <c r="AQ29" s="22"/>
      <c r="AR29" s="15">
        <f t="shared" si="47"/>
        <v>5</v>
      </c>
      <c r="AS29" s="7">
        <f t="shared" si="29"/>
        <v>352.50168464594418</v>
      </c>
      <c r="AT29" s="22">
        <f t="shared" si="30"/>
        <v>1762.5084232297208</v>
      </c>
      <c r="AV29" s="7">
        <f t="shared" si="48"/>
        <v>0</v>
      </c>
      <c r="AW29" s="7">
        <f t="shared" si="31"/>
        <v>0</v>
      </c>
      <c r="AX29" s="22">
        <f t="shared" si="49"/>
        <v>0</v>
      </c>
      <c r="AZ29" s="34">
        <f t="shared" si="32"/>
        <v>0</v>
      </c>
      <c r="BA29" s="22">
        <f t="shared" si="3"/>
        <v>0</v>
      </c>
      <c r="BC29" s="34">
        <f t="shared" si="33"/>
        <v>0</v>
      </c>
      <c r="BD29" s="22">
        <f t="shared" si="4"/>
        <v>0</v>
      </c>
      <c r="BF29" s="34">
        <f t="shared" si="34"/>
        <v>0</v>
      </c>
      <c r="BG29" s="22">
        <f t="shared" si="5"/>
        <v>0</v>
      </c>
      <c r="BI29" s="22">
        <f t="shared" si="6"/>
        <v>39.68</v>
      </c>
      <c r="BJ29" s="7"/>
      <c r="BK29" s="22">
        <f t="shared" si="7"/>
        <v>3788.2181043284145</v>
      </c>
      <c r="BM29" s="22" t="str">
        <f>IF(Almonds!$D$18&lt;0,(+S29+W29+AA29+AE29+AH29+AL29+AT29+AX29+BA29+BD29+BG29+BI29+BK29)*Almonds!$D$18/100,IF(Almonds!$D$18&gt;0,(+S29+W29+AA29+AE29+AH29+AL29+AT29+AX29+BA29+BD29+BG29+BI29+BK29)*Almonds!$D$18/100,""))</f>
        <v/>
      </c>
      <c r="BO29" s="22">
        <f t="shared" si="35"/>
        <v>25202.337589042305</v>
      </c>
      <c r="BQ29" s="22">
        <f t="shared" si="8"/>
        <v>6366.1466136944837</v>
      </c>
      <c r="BR29" s="22">
        <f t="shared" si="9"/>
        <v>6366.1466136944837</v>
      </c>
      <c r="BT29" s="162">
        <f t="shared" si="36"/>
        <v>1.6799570483015058</v>
      </c>
      <c r="BU29" s="163">
        <f t="shared" si="37"/>
        <v>1.6799570483015058</v>
      </c>
      <c r="BW29" s="7">
        <f>+'Almonds Margin - Baseline'!BN27</f>
        <v>251.45120171410684</v>
      </c>
      <c r="BX29" s="7">
        <f>+'Almonds Margin - Baseline'!BO27</f>
        <v>283.54994752741914</v>
      </c>
      <c r="BY29" s="7">
        <f>+'Almonds Margin - Baseline'!BP27</f>
        <v>250.4557893357493</v>
      </c>
      <c r="BZ29" s="7">
        <f>+'Almonds Margin - Baseline'!BQ27</f>
        <v>118.93946403035226</v>
      </c>
    </row>
    <row r="30" spans="1:78" x14ac:dyDescent="0.2">
      <c r="A30" s="8">
        <f t="shared" si="10"/>
        <v>2044</v>
      </c>
      <c r="B30" s="34">
        <f t="shared" si="11"/>
        <v>13136.562781138857</v>
      </c>
      <c r="C30" s="122">
        <f t="shared" si="50"/>
        <v>13.136562781138856</v>
      </c>
      <c r="D30" s="122">
        <f t="shared" si="12"/>
        <v>13136.562781138857</v>
      </c>
      <c r="E30" s="121">
        <f t="shared" si="13"/>
        <v>13.136562781138856</v>
      </c>
      <c r="F30" s="122"/>
      <c r="G30" s="157">
        <f t="shared" si="38"/>
        <v>2.48</v>
      </c>
      <c r="H30" s="155">
        <f t="shared" si="39"/>
        <v>2.48</v>
      </c>
      <c r="J30" s="22">
        <f t="shared" si="0"/>
        <v>32578.675697224364</v>
      </c>
      <c r="K30" s="22">
        <f t="shared" si="1"/>
        <v>32578.675697224364</v>
      </c>
      <c r="L30" s="35"/>
      <c r="M30" s="28">
        <f t="shared" si="40"/>
        <v>557.54999999999995</v>
      </c>
      <c r="N30" s="14">
        <f t="shared" si="14"/>
        <v>6.5640455860284277</v>
      </c>
      <c r="O30" s="31">
        <f t="shared" si="15"/>
        <v>3659.7836164901496</v>
      </c>
      <c r="Q30" s="15">
        <f t="shared" si="41"/>
        <v>5</v>
      </c>
      <c r="R30" s="7">
        <f t="shared" si="16"/>
        <v>32.144517355109805</v>
      </c>
      <c r="S30" s="7">
        <f t="shared" si="17"/>
        <v>160.72258677554902</v>
      </c>
      <c r="U30" s="15">
        <f t="shared" si="42"/>
        <v>4</v>
      </c>
      <c r="V30" s="7">
        <f t="shared" si="18"/>
        <v>43.993584938712587</v>
      </c>
      <c r="W30" s="7">
        <f t="shared" si="19"/>
        <v>175.97433975485035</v>
      </c>
      <c r="Y30" s="15">
        <f t="shared" si="43"/>
        <v>2</v>
      </c>
      <c r="Z30" s="7">
        <f t="shared" si="20"/>
        <v>20.572973757681009</v>
      </c>
      <c r="AA30" s="22">
        <f t="shared" si="21"/>
        <v>41.145947515362018</v>
      </c>
      <c r="AB30" s="22"/>
      <c r="AC30" s="15">
        <f t="shared" si="44"/>
        <v>0</v>
      </c>
      <c r="AD30" s="7">
        <f t="shared" si="22"/>
        <v>0</v>
      </c>
      <c r="AE30" s="22">
        <f t="shared" si="23"/>
        <v>0</v>
      </c>
      <c r="AG30" s="15">
        <f t="shared" si="24"/>
        <v>6.1909071759160117</v>
      </c>
      <c r="AH30" s="22">
        <f t="shared" si="2"/>
        <v>15.353449796271709</v>
      </c>
      <c r="AJ30" s="7">
        <f t="shared" si="45"/>
        <v>75.84</v>
      </c>
      <c r="AK30" s="7">
        <f t="shared" si="25"/>
        <v>175.4090366509536</v>
      </c>
      <c r="AL30" s="22">
        <f t="shared" si="26"/>
        <v>13303.021339608322</v>
      </c>
      <c r="AN30" s="15">
        <f t="shared" si="46"/>
        <v>14</v>
      </c>
      <c r="AO30" s="7">
        <f t="shared" si="27"/>
        <v>200.07995620503792</v>
      </c>
      <c r="AP30" s="22">
        <f t="shared" si="28"/>
        <v>2801.1193868705309</v>
      </c>
      <c r="AQ30" s="22"/>
      <c r="AR30" s="15">
        <f t="shared" si="47"/>
        <v>5</v>
      </c>
      <c r="AS30" s="7">
        <f t="shared" si="29"/>
        <v>363.78173855461438</v>
      </c>
      <c r="AT30" s="22">
        <f t="shared" si="30"/>
        <v>1818.9086927730718</v>
      </c>
      <c r="AV30" s="7">
        <f t="shared" si="48"/>
        <v>0</v>
      </c>
      <c r="AW30" s="7">
        <f t="shared" si="31"/>
        <v>0</v>
      </c>
      <c r="AX30" s="22">
        <f t="shared" si="49"/>
        <v>0</v>
      </c>
      <c r="AZ30" s="34">
        <f t="shared" si="32"/>
        <v>0</v>
      </c>
      <c r="BA30" s="22">
        <f t="shared" si="3"/>
        <v>0</v>
      </c>
      <c r="BC30" s="34">
        <f t="shared" si="33"/>
        <v>0</v>
      </c>
      <c r="BD30" s="22">
        <f t="shared" si="4"/>
        <v>0</v>
      </c>
      <c r="BF30" s="34">
        <f t="shared" si="34"/>
        <v>0</v>
      </c>
      <c r="BG30" s="22">
        <f t="shared" si="5"/>
        <v>0</v>
      </c>
      <c r="BI30" s="22">
        <f t="shared" si="6"/>
        <v>39.68</v>
      </c>
      <c r="BJ30" s="7"/>
      <c r="BK30" s="22">
        <f t="shared" si="7"/>
        <v>3909.4410836669235</v>
      </c>
      <c r="BM30" s="22" t="str">
        <f>IF(Almonds!$D$18&lt;0,(+S30+W30+AA30+AE30+AH30+AL30+AT30+AX30+BA30+BD30+BG30+BI30+BK30)*Almonds!$D$18/100,IF(Almonds!$D$18&gt;0,(+S30+W30+AA30+AE30+AH30+AL30+AT30+AX30+BA30+BD30+BG30+BI30+BK30)*Almonds!$D$18/100,""))</f>
        <v/>
      </c>
      <c r="BO30" s="22">
        <f t="shared" si="35"/>
        <v>25925.15044325103</v>
      </c>
      <c r="BQ30" s="22">
        <f t="shared" si="8"/>
        <v>6653.5252539733337</v>
      </c>
      <c r="BR30" s="22">
        <f t="shared" si="9"/>
        <v>6653.5252539733337</v>
      </c>
      <c r="BT30" s="162">
        <f t="shared" si="36"/>
        <v>1.6736777346681337</v>
      </c>
      <c r="BU30" s="163">
        <f t="shared" si="37"/>
        <v>1.6736777346681337</v>
      </c>
      <c r="BW30" s="7">
        <f>+'Almonds Margin - Baseline'!BN28</f>
        <v>259.49764016895824</v>
      </c>
      <c r="BX30" s="7">
        <f>+'Almonds Margin - Baseline'!BO28</f>
        <v>292.62354584829654</v>
      </c>
      <c r="BY30" s="7">
        <f>+'Almonds Margin - Baseline'!BP28</f>
        <v>258.47037459449325</v>
      </c>
      <c r="BZ30" s="7">
        <f>+'Almonds Margin - Baseline'!BQ28</f>
        <v>120.29086019139086</v>
      </c>
    </row>
    <row r="31" spans="1:78" x14ac:dyDescent="0.2">
      <c r="A31" s="8">
        <f t="shared" si="10"/>
        <v>2045</v>
      </c>
      <c r="B31" s="34">
        <f t="shared" si="11"/>
        <v>13556.932790135299</v>
      </c>
      <c r="C31" s="122">
        <f t="shared" si="50"/>
        <v>13.556932790135299</v>
      </c>
      <c r="D31" s="122">
        <f t="shared" si="12"/>
        <v>13556.932790135299</v>
      </c>
      <c r="E31" s="121">
        <f t="shared" si="13"/>
        <v>13.556932790135299</v>
      </c>
      <c r="F31" s="122"/>
      <c r="G31" s="157">
        <f t="shared" si="38"/>
        <v>2.48</v>
      </c>
      <c r="H31" s="155">
        <f t="shared" si="39"/>
        <v>2.48</v>
      </c>
      <c r="J31" s="22">
        <f t="shared" si="0"/>
        <v>33621.193319535538</v>
      </c>
      <c r="K31" s="20">
        <f t="shared" si="1"/>
        <v>33621.193319535538</v>
      </c>
      <c r="L31" s="35"/>
      <c r="M31" s="28">
        <f t="shared" si="40"/>
        <v>557.54999999999995</v>
      </c>
      <c r="N31" s="14">
        <f t="shared" si="14"/>
        <v>6.6512231628253895</v>
      </c>
      <c r="O31" s="31">
        <f t="shared" si="15"/>
        <v>3708.3894744332956</v>
      </c>
      <c r="Q31" s="15">
        <f t="shared" si="41"/>
        <v>5</v>
      </c>
      <c r="R31" s="7">
        <f t="shared" si="16"/>
        <v>32.57143107677728</v>
      </c>
      <c r="S31" s="7">
        <f t="shared" si="17"/>
        <v>162.85715538388641</v>
      </c>
      <c r="U31" s="15">
        <f t="shared" si="42"/>
        <v>4</v>
      </c>
      <c r="V31" s="7">
        <f t="shared" si="18"/>
        <v>44.577867006730457</v>
      </c>
      <c r="W31" s="7">
        <f t="shared" si="19"/>
        <v>178.31146802692183</v>
      </c>
      <c r="Y31" s="15">
        <f t="shared" si="43"/>
        <v>2</v>
      </c>
      <c r="Z31" s="7">
        <f t="shared" si="20"/>
        <v>20.846204949664134</v>
      </c>
      <c r="AA31" s="22">
        <f t="shared" si="21"/>
        <v>41.692409899328268</v>
      </c>
      <c r="AB31" s="22"/>
      <c r="AC31" s="15">
        <f t="shared" si="44"/>
        <v>0</v>
      </c>
      <c r="AD31" s="7">
        <f t="shared" si="22"/>
        <v>0</v>
      </c>
      <c r="AE31" s="22">
        <f t="shared" si="23"/>
        <v>0</v>
      </c>
      <c r="AG31" s="15">
        <f t="shared" si="24"/>
        <v>6.3890162055453246</v>
      </c>
      <c r="AH31" s="22">
        <f t="shared" si="2"/>
        <v>15.844760189752405</v>
      </c>
      <c r="AJ31" s="7">
        <f t="shared" si="45"/>
        <v>75.84</v>
      </c>
      <c r="AK31" s="7">
        <f t="shared" si="25"/>
        <v>181.02212582378411</v>
      </c>
      <c r="AL31" s="22">
        <f t="shared" si="26"/>
        <v>13728.718022475787</v>
      </c>
      <c r="AN31" s="15">
        <f t="shared" si="46"/>
        <v>14</v>
      </c>
      <c r="AO31" s="7">
        <f t="shared" si="27"/>
        <v>206.48251480359912</v>
      </c>
      <c r="AP31" s="22">
        <f t="shared" si="28"/>
        <v>2890.7552072503877</v>
      </c>
      <c r="AQ31" s="22"/>
      <c r="AR31" s="15">
        <f t="shared" si="47"/>
        <v>5</v>
      </c>
      <c r="AS31" s="7">
        <f t="shared" si="29"/>
        <v>375.42275418836198</v>
      </c>
      <c r="AT31" s="22">
        <f t="shared" si="30"/>
        <v>1877.1137709418099</v>
      </c>
      <c r="AV31" s="7">
        <f t="shared" si="48"/>
        <v>0</v>
      </c>
      <c r="AW31" s="7">
        <f t="shared" si="31"/>
        <v>0</v>
      </c>
      <c r="AX31" s="22">
        <f t="shared" si="49"/>
        <v>0</v>
      </c>
      <c r="AZ31" s="34">
        <f t="shared" si="32"/>
        <v>0</v>
      </c>
      <c r="BA31" s="22">
        <f t="shared" si="3"/>
        <v>0</v>
      </c>
      <c r="BC31" s="34">
        <f t="shared" si="33"/>
        <v>0</v>
      </c>
      <c r="BD31" s="22">
        <f t="shared" si="4"/>
        <v>0</v>
      </c>
      <c r="BF31" s="34">
        <f t="shared" si="34"/>
        <v>0</v>
      </c>
      <c r="BG31" s="22">
        <f t="shared" si="5"/>
        <v>0</v>
      </c>
      <c r="BI31" s="22">
        <f t="shared" si="6"/>
        <v>39.68</v>
      </c>
      <c r="BJ31" s="7"/>
      <c r="BK31" s="22">
        <f t="shared" si="7"/>
        <v>4034.5431983442645</v>
      </c>
      <c r="BM31" s="22" t="str">
        <f>IF(Almonds!$D$18&lt;0,(+S31+W31+AA31+AE31+AH31+AL31+AT31+AX31+BA31+BD31+BG31+BI31+BK31)*Almonds!$D$18/100,IF(Almonds!$D$18&gt;0,(+S31+W31+AA31+AE31+AH31+AL31+AT31+AX31+BA31+BD31+BG31+BI31+BK31)*Almonds!$D$18/100,""))</f>
        <v/>
      </c>
      <c r="BO31" s="22">
        <f t="shared" si="35"/>
        <v>26677.905466945438</v>
      </c>
      <c r="BQ31" s="22">
        <f t="shared" si="8"/>
        <v>6943.2878525900996</v>
      </c>
      <c r="BR31" s="21">
        <f t="shared" si="9"/>
        <v>6943.2878525900996</v>
      </c>
      <c r="BT31" s="162">
        <f t="shared" si="36"/>
        <v>1.6680962016094545</v>
      </c>
      <c r="BU31" s="163">
        <f t="shared" si="37"/>
        <v>1.6680962016094545</v>
      </c>
      <c r="BW31" s="7">
        <f>+'Almonds Margin - Baseline'!BN29</f>
        <v>267.80156465436488</v>
      </c>
      <c r="BX31" s="7">
        <f>+'Almonds Margin - Baseline'!BO29</f>
        <v>301.98749931544205</v>
      </c>
      <c r="BY31" s="7">
        <f>+'Almonds Margin - Baseline'!BP29</f>
        <v>266.74142658151703</v>
      </c>
      <c r="BZ31" s="7">
        <f>+'Almonds Margin - Baseline'!BQ29</f>
        <v>121.88845203697896</v>
      </c>
    </row>
    <row r="32" spans="1:78" x14ac:dyDescent="0.2">
      <c r="A32" s="8">
        <f t="shared" si="10"/>
        <v>2046</v>
      </c>
      <c r="B32" s="34">
        <f t="shared" si="11"/>
        <v>13990.754639419629</v>
      </c>
      <c r="C32" s="122">
        <f t="shared" si="50"/>
        <v>13.990754639419629</v>
      </c>
      <c r="D32" s="122">
        <f t="shared" si="12"/>
        <v>13990.754639419629</v>
      </c>
      <c r="E32" s="121">
        <f t="shared" si="13"/>
        <v>13.990754639419629</v>
      </c>
      <c r="F32" s="122"/>
      <c r="G32" s="157">
        <f t="shared" si="38"/>
        <v>2.48</v>
      </c>
      <c r="H32" s="155">
        <f t="shared" si="39"/>
        <v>2.48</v>
      </c>
      <c r="J32" s="22">
        <f t="shared" si="0"/>
        <v>34697.071505760679</v>
      </c>
      <c r="K32" s="22">
        <f t="shared" si="1"/>
        <v>34697.071505760679</v>
      </c>
      <c r="L32" s="35"/>
      <c r="M32" s="28">
        <f t="shared" si="40"/>
        <v>557.54999999999995</v>
      </c>
      <c r="N32" s="14">
        <f t="shared" si="14"/>
        <v>6.7513210701467772</v>
      </c>
      <c r="O32" s="31">
        <f t="shared" si="15"/>
        <v>3764.1990626603351</v>
      </c>
      <c r="Q32" s="15">
        <f t="shared" si="41"/>
        <v>5</v>
      </c>
      <c r="R32" s="7">
        <f t="shared" si="16"/>
        <v>33.061616417042316</v>
      </c>
      <c r="S32" s="7">
        <f t="shared" si="17"/>
        <v>165.30808208521159</v>
      </c>
      <c r="U32" s="15">
        <f t="shared" si="42"/>
        <v>4</v>
      </c>
      <c r="V32" s="7">
        <f t="shared" si="18"/>
        <v>45.248743789991082</v>
      </c>
      <c r="W32" s="7">
        <f t="shared" si="19"/>
        <v>180.99497515996433</v>
      </c>
      <c r="Y32" s="15">
        <f t="shared" si="43"/>
        <v>2</v>
      </c>
      <c r="Z32" s="7">
        <f t="shared" si="20"/>
        <v>21.159930927573999</v>
      </c>
      <c r="AA32" s="22">
        <f t="shared" si="21"/>
        <v>42.319861855147998</v>
      </c>
      <c r="AB32" s="22"/>
      <c r="AC32" s="15">
        <f t="shared" si="44"/>
        <v>0</v>
      </c>
      <c r="AD32" s="7">
        <f t="shared" si="22"/>
        <v>0</v>
      </c>
      <c r="AE32" s="22">
        <f t="shared" si="23"/>
        <v>0</v>
      </c>
      <c r="AG32" s="15">
        <f t="shared" si="24"/>
        <v>6.5934647241227751</v>
      </c>
      <c r="AH32" s="22">
        <f t="shared" si="2"/>
        <v>16.351792515824481</v>
      </c>
      <c r="AJ32" s="7">
        <f t="shared" si="45"/>
        <v>75.84</v>
      </c>
      <c r="AK32" s="7">
        <f t="shared" si="25"/>
        <v>186.81483385014519</v>
      </c>
      <c r="AL32" s="22">
        <f t="shared" si="26"/>
        <v>14168.036999195012</v>
      </c>
      <c r="AN32" s="15">
        <f t="shared" si="46"/>
        <v>14</v>
      </c>
      <c r="AO32" s="7">
        <f t="shared" si="27"/>
        <v>213.08995527731429</v>
      </c>
      <c r="AP32" s="22">
        <f t="shared" si="28"/>
        <v>2983.2593738823998</v>
      </c>
      <c r="AQ32" s="22"/>
      <c r="AR32" s="15">
        <f t="shared" si="47"/>
        <v>5</v>
      </c>
      <c r="AS32" s="7">
        <f t="shared" si="29"/>
        <v>387.43628232238956</v>
      </c>
      <c r="AT32" s="22">
        <f t="shared" si="30"/>
        <v>1937.1814116119479</v>
      </c>
      <c r="AV32" s="7">
        <f t="shared" si="48"/>
        <v>0</v>
      </c>
      <c r="AW32" s="7">
        <f t="shared" si="31"/>
        <v>0</v>
      </c>
      <c r="AX32" s="22">
        <f t="shared" si="49"/>
        <v>0</v>
      </c>
      <c r="AZ32" s="34">
        <f t="shared" si="32"/>
        <v>0</v>
      </c>
      <c r="BA32" s="22">
        <f t="shared" si="3"/>
        <v>0</v>
      </c>
      <c r="BC32" s="34">
        <f t="shared" si="33"/>
        <v>0</v>
      </c>
      <c r="BD32" s="22">
        <f t="shared" si="4"/>
        <v>0</v>
      </c>
      <c r="BF32" s="34">
        <f t="shared" si="34"/>
        <v>0</v>
      </c>
      <c r="BG32" s="22">
        <f t="shared" si="5"/>
        <v>0</v>
      </c>
      <c r="BI32" s="22">
        <f t="shared" si="6"/>
        <v>39.68</v>
      </c>
      <c r="BJ32" s="7"/>
      <c r="BK32" s="22">
        <f t="shared" si="7"/>
        <v>4163.6485806912815</v>
      </c>
      <c r="BM32" s="22" t="str">
        <f>IF(Almonds!$D$18&lt;0,(+S32+W32+AA32+AE32+AH32+AL32+AT32+AX32+BA32+BD32+BG32+BI32+BK32)*Almonds!$D$18/100,IF(Almonds!$D$18&gt;0,(+S32+W32+AA32+AE32+AH32+AL32+AT32+AX32+BA32+BD32+BG32+BI32+BK32)*Almonds!$D$18/100,""))</f>
        <v/>
      </c>
      <c r="BO32" s="22">
        <f t="shared" si="35"/>
        <v>27460.980139657127</v>
      </c>
      <c r="BQ32" s="22">
        <f t="shared" si="8"/>
        <v>7236.091366103552</v>
      </c>
      <c r="BR32" s="22">
        <f t="shared" si="9"/>
        <v>7236.091366103552</v>
      </c>
      <c r="BT32" s="162">
        <f t="shared" si="36"/>
        <v>1.6631336609563543</v>
      </c>
      <c r="BU32" s="163">
        <f t="shared" si="37"/>
        <v>1.6631336609563543</v>
      </c>
      <c r="BW32" s="7">
        <f>+'Almonds Margin - Baseline'!BN30</f>
        <v>276.37121472330455</v>
      </c>
      <c r="BX32" s="7">
        <f>+'Almonds Margin - Baseline'!BO30</f>
        <v>311.65109929353622</v>
      </c>
      <c r="BY32" s="7">
        <f>+'Almonds Margin - Baseline'!BP30</f>
        <v>275.27715223212556</v>
      </c>
      <c r="BZ32" s="7">
        <f>+'Almonds Margin - Baseline'!BQ30</f>
        <v>123.72281823953503</v>
      </c>
    </row>
    <row r="33" spans="1:78" x14ac:dyDescent="0.2">
      <c r="A33" s="8">
        <f t="shared" si="10"/>
        <v>2047</v>
      </c>
      <c r="B33" s="34">
        <f t="shared" si="11"/>
        <v>14438.458787881058</v>
      </c>
      <c r="C33" s="122">
        <f t="shared" si="50"/>
        <v>14.438458787881059</v>
      </c>
      <c r="D33" s="122">
        <f t="shared" si="12"/>
        <v>14438.458787881058</v>
      </c>
      <c r="E33" s="121">
        <f t="shared" si="13"/>
        <v>14.438458787881059</v>
      </c>
      <c r="F33" s="122"/>
      <c r="G33" s="157">
        <f t="shared" si="38"/>
        <v>2.48</v>
      </c>
      <c r="H33" s="155">
        <f t="shared" si="39"/>
        <v>2.48</v>
      </c>
      <c r="J33" s="22">
        <f t="shared" si="0"/>
        <v>35807.377793945023</v>
      </c>
      <c r="K33" s="22">
        <f t="shared" si="1"/>
        <v>35807.377793945023</v>
      </c>
      <c r="L33" s="35"/>
      <c r="M33" s="28">
        <f t="shared" si="40"/>
        <v>557.54999999999995</v>
      </c>
      <c r="N33" s="14">
        <f t="shared" si="14"/>
        <v>6.8569170338667353</v>
      </c>
      <c r="O33" s="31">
        <f t="shared" si="15"/>
        <v>3823.074092232398</v>
      </c>
      <c r="Q33" s="15">
        <f t="shared" si="41"/>
        <v>5</v>
      </c>
      <c r="R33" s="7">
        <f t="shared" si="16"/>
        <v>33.578726062906227</v>
      </c>
      <c r="S33" s="7">
        <f t="shared" si="17"/>
        <v>167.89363031453115</v>
      </c>
      <c r="U33" s="15">
        <f t="shared" si="42"/>
        <v>4</v>
      </c>
      <c r="V33" s="7">
        <f t="shared" si="18"/>
        <v>45.956469679187713</v>
      </c>
      <c r="W33" s="7">
        <f t="shared" si="19"/>
        <v>183.82587871675085</v>
      </c>
      <c r="Y33" s="15">
        <f t="shared" si="43"/>
        <v>2</v>
      </c>
      <c r="Z33" s="7">
        <f t="shared" si="20"/>
        <v>21.490888865336</v>
      </c>
      <c r="AA33" s="22">
        <f t="shared" si="21"/>
        <v>42.981777730672</v>
      </c>
      <c r="AB33" s="22"/>
      <c r="AC33" s="15">
        <f t="shared" si="44"/>
        <v>0</v>
      </c>
      <c r="AD33" s="7">
        <f t="shared" si="22"/>
        <v>0</v>
      </c>
      <c r="AE33" s="22">
        <f t="shared" si="23"/>
        <v>0</v>
      </c>
      <c r="AG33" s="15">
        <f t="shared" si="24"/>
        <v>6.8044555952947041</v>
      </c>
      <c r="AH33" s="22">
        <f t="shared" si="2"/>
        <v>16.875049876330866</v>
      </c>
      <c r="AJ33" s="7">
        <f t="shared" si="45"/>
        <v>75.84</v>
      </c>
      <c r="AK33" s="7">
        <f t="shared" si="25"/>
        <v>192.79290853334984</v>
      </c>
      <c r="AL33" s="22">
        <f t="shared" si="26"/>
        <v>14621.414183169252</v>
      </c>
      <c r="AN33" s="15">
        <f t="shared" si="46"/>
        <v>14</v>
      </c>
      <c r="AO33" s="7">
        <f t="shared" si="27"/>
        <v>219.90883384618837</v>
      </c>
      <c r="AP33" s="22">
        <f t="shared" si="28"/>
        <v>3078.7236738466372</v>
      </c>
      <c r="AQ33" s="22"/>
      <c r="AR33" s="15">
        <f t="shared" si="47"/>
        <v>5</v>
      </c>
      <c r="AS33" s="7">
        <f t="shared" si="29"/>
        <v>399.834243356706</v>
      </c>
      <c r="AT33" s="22">
        <f t="shared" si="30"/>
        <v>1999.1712167835299</v>
      </c>
      <c r="AV33" s="7">
        <f t="shared" si="48"/>
        <v>0</v>
      </c>
      <c r="AW33" s="7">
        <f t="shared" si="31"/>
        <v>0</v>
      </c>
      <c r="AX33" s="22">
        <f t="shared" si="49"/>
        <v>0</v>
      </c>
      <c r="AZ33" s="34">
        <f t="shared" si="32"/>
        <v>0</v>
      </c>
      <c r="BA33" s="22">
        <f t="shared" si="3"/>
        <v>0</v>
      </c>
      <c r="BC33" s="34">
        <f t="shared" si="33"/>
        <v>0</v>
      </c>
      <c r="BD33" s="22">
        <f t="shared" si="4"/>
        <v>0</v>
      </c>
      <c r="BF33" s="34">
        <f t="shared" si="34"/>
        <v>0</v>
      </c>
      <c r="BG33" s="22">
        <f t="shared" si="5"/>
        <v>0</v>
      </c>
      <c r="BI33" s="22">
        <f t="shared" si="6"/>
        <v>39.68</v>
      </c>
      <c r="BJ33" s="7"/>
      <c r="BK33" s="22">
        <f t="shared" si="7"/>
        <v>4296.8853352734022</v>
      </c>
      <c r="BM33" s="22" t="str">
        <f>IF(Almonds!$D$18&lt;0,(+S33+W33+AA33+AE33+AH33+AL33+AT33+AX33+BA33+BD33+BG33+BI33+BK33)*Almonds!$D$18/100,IF(Almonds!$D$18&gt;0,(+S33+W33+AA33+AE33+AH33+AL33+AT33+AX33+BA33+BD33+BG33+BI33+BK33)*Almonds!$D$18/100,""))</f>
        <v/>
      </c>
      <c r="BO33" s="22">
        <f t="shared" si="35"/>
        <v>28270.524837943507</v>
      </c>
      <c r="BQ33" s="22">
        <f t="shared" si="8"/>
        <v>7536.8529560015158</v>
      </c>
      <c r="BR33" s="22">
        <f t="shared" si="9"/>
        <v>7536.8529560015158</v>
      </c>
      <c r="BT33" s="162">
        <f t="shared" si="36"/>
        <v>1.6584228810991029</v>
      </c>
      <c r="BU33" s="163">
        <f t="shared" si="37"/>
        <v>1.6584228810991029</v>
      </c>
      <c r="BW33" s="7">
        <f>+'Almonds Margin - Baseline'!BN31</f>
        <v>285.21509359445031</v>
      </c>
      <c r="BX33" s="7">
        <f>+'Almonds Margin - Baseline'!BO31</f>
        <v>321.62393447092938</v>
      </c>
      <c r="BY33" s="7">
        <f>+'Almonds Margin - Baseline'!BP31</f>
        <v>284.08602110355355</v>
      </c>
      <c r="BZ33" s="7">
        <f>+'Almonds Margin - Baseline'!BQ31</f>
        <v>125.65794028311885</v>
      </c>
    </row>
    <row r="34" spans="1:78" x14ac:dyDescent="0.2">
      <c r="A34" s="8">
        <f t="shared" si="10"/>
        <v>2048</v>
      </c>
      <c r="B34" s="34">
        <f t="shared" si="11"/>
        <v>14900.489469093251</v>
      </c>
      <c r="C34" s="122">
        <f t="shared" si="50"/>
        <v>14.90048946909325</v>
      </c>
      <c r="D34" s="122">
        <f t="shared" si="12"/>
        <v>14900.489469093251</v>
      </c>
      <c r="E34" s="121">
        <f t="shared" si="13"/>
        <v>14.90048946909325</v>
      </c>
      <c r="F34" s="122"/>
      <c r="G34" s="157">
        <f t="shared" si="38"/>
        <v>2.48</v>
      </c>
      <c r="H34" s="155">
        <f t="shared" si="39"/>
        <v>2.48</v>
      </c>
      <c r="J34" s="22">
        <f t="shared" si="0"/>
        <v>36953.213883351258</v>
      </c>
      <c r="K34" s="20">
        <f t="shared" si="1"/>
        <v>36953.213883351258</v>
      </c>
      <c r="L34" s="35"/>
      <c r="M34" s="28">
        <f t="shared" si="40"/>
        <v>557.54999999999995</v>
      </c>
      <c r="N34" s="14">
        <f t="shared" si="14"/>
        <v>6.966125977845179</v>
      </c>
      <c r="O34" s="31">
        <f t="shared" si="15"/>
        <v>3883.9635389475793</v>
      </c>
      <c r="Q34" s="15">
        <f t="shared" si="41"/>
        <v>5</v>
      </c>
      <c r="R34" s="7">
        <f t="shared" si="16"/>
        <v>34.113528685624189</v>
      </c>
      <c r="S34" s="7">
        <f t="shared" si="17"/>
        <v>170.56764342812096</v>
      </c>
      <c r="U34" s="15">
        <f t="shared" si="42"/>
        <v>4</v>
      </c>
      <c r="V34" s="7">
        <f t="shared" si="18"/>
        <v>46.688410505925589</v>
      </c>
      <c r="W34" s="7">
        <f t="shared" si="19"/>
        <v>186.75364202370235</v>
      </c>
      <c r="Y34" s="15">
        <f t="shared" si="43"/>
        <v>2</v>
      </c>
      <c r="Z34" s="7">
        <f t="shared" si="20"/>
        <v>21.833170573944905</v>
      </c>
      <c r="AA34" s="22">
        <f t="shared" si="21"/>
        <v>43.66634114788981</v>
      </c>
      <c r="AB34" s="22"/>
      <c r="AC34" s="15">
        <f t="shared" si="44"/>
        <v>0</v>
      </c>
      <c r="AD34" s="7">
        <f t="shared" si="22"/>
        <v>0</v>
      </c>
      <c r="AE34" s="22">
        <f t="shared" si="23"/>
        <v>0</v>
      </c>
      <c r="AG34" s="15">
        <f t="shared" si="24"/>
        <v>7.0221981743441351</v>
      </c>
      <c r="AH34" s="22">
        <f t="shared" si="2"/>
        <v>17.415051472373456</v>
      </c>
      <c r="AJ34" s="7">
        <f t="shared" si="45"/>
        <v>75.84</v>
      </c>
      <c r="AK34" s="7">
        <f t="shared" si="25"/>
        <v>198.96228160641704</v>
      </c>
      <c r="AL34" s="22">
        <f t="shared" si="26"/>
        <v>15089.299437030668</v>
      </c>
      <c r="AN34" s="15">
        <f t="shared" si="46"/>
        <v>14</v>
      </c>
      <c r="AO34" s="7">
        <f t="shared" si="27"/>
        <v>226.94591652926638</v>
      </c>
      <c r="AP34" s="22">
        <f t="shared" si="28"/>
        <v>3177.2428314097292</v>
      </c>
      <c r="AQ34" s="22"/>
      <c r="AR34" s="15">
        <f t="shared" si="47"/>
        <v>5</v>
      </c>
      <c r="AS34" s="7">
        <f t="shared" si="29"/>
        <v>412.62893914412064</v>
      </c>
      <c r="AT34" s="22">
        <f t="shared" si="30"/>
        <v>2063.1446957206031</v>
      </c>
      <c r="AV34" s="7">
        <f t="shared" si="48"/>
        <v>0</v>
      </c>
      <c r="AW34" s="7">
        <f t="shared" si="31"/>
        <v>0</v>
      </c>
      <c r="AX34" s="22">
        <f t="shared" si="49"/>
        <v>0</v>
      </c>
      <c r="AZ34" s="34">
        <f t="shared" si="32"/>
        <v>0</v>
      </c>
      <c r="BA34" s="22">
        <f t="shared" si="3"/>
        <v>0</v>
      </c>
      <c r="BC34" s="34">
        <f t="shared" si="33"/>
        <v>0</v>
      </c>
      <c r="BD34" s="22">
        <f t="shared" si="4"/>
        <v>0</v>
      </c>
      <c r="BF34" s="34">
        <f t="shared" si="34"/>
        <v>0</v>
      </c>
      <c r="BG34" s="22">
        <f t="shared" si="5"/>
        <v>0</v>
      </c>
      <c r="BI34" s="22">
        <f t="shared" si="6"/>
        <v>39.68</v>
      </c>
      <c r="BJ34" s="7"/>
      <c r="BK34" s="22">
        <f t="shared" si="7"/>
        <v>4434.3856660021511</v>
      </c>
      <c r="BM34" s="22" t="str">
        <f>IF(Almonds!$D$18&lt;0,(+S34+W34+AA34+AE34+AH34+AL34+AT34+AX34+BA34+BD34+BG34+BI34+BK34)*Almonds!$D$18/100,IF(Almonds!$D$18&gt;0,(+S34+W34+AA34+AE34+AH34+AL34+AT34+AX34+BA34+BD34+BG34+BI34+BK34)*Almonds!$D$18/100,""))</f>
        <v/>
      </c>
      <c r="BO34" s="22">
        <f t="shared" si="35"/>
        <v>29106.118847182817</v>
      </c>
      <c r="BQ34" s="22">
        <f t="shared" si="8"/>
        <v>7847.0950361684409</v>
      </c>
      <c r="BR34" s="21">
        <f t="shared" si="9"/>
        <v>7847.0950361684409</v>
      </c>
      <c r="BT34" s="162">
        <f t="shared" si="36"/>
        <v>1.653867839333363</v>
      </c>
      <c r="BU34" s="163">
        <f t="shared" si="37"/>
        <v>1.653867839333363</v>
      </c>
      <c r="BW34" s="7">
        <f>+'Almonds Margin - Baseline'!BN32</f>
        <v>294.34197658947272</v>
      </c>
      <c r="BX34" s="7">
        <f>+'Almonds Margin - Baseline'!BO32</f>
        <v>331.91590037399914</v>
      </c>
      <c r="BY34" s="7">
        <f>+'Almonds Margin - Baseline'!BP32</f>
        <v>293.17677377886724</v>
      </c>
      <c r="BZ34" s="7">
        <f>+'Almonds Margin - Baseline'!BQ32</f>
        <v>127.65927279057767</v>
      </c>
    </row>
    <row r="35" spans="1:78" x14ac:dyDescent="0.2">
      <c r="A35" s="8">
        <f t="shared" si="10"/>
        <v>2049</v>
      </c>
      <c r="B35" s="34">
        <f t="shared" si="11"/>
        <v>15377.305132104235</v>
      </c>
      <c r="C35" s="122">
        <f t="shared" si="50"/>
        <v>15.377305132104235</v>
      </c>
      <c r="D35" s="122">
        <f t="shared" si="12"/>
        <v>15377.305132104235</v>
      </c>
      <c r="E35" s="121">
        <f t="shared" si="13"/>
        <v>15.377305132104235</v>
      </c>
      <c r="F35" s="122"/>
      <c r="G35" s="157">
        <f t="shared" si="38"/>
        <v>2.48</v>
      </c>
      <c r="H35" s="155">
        <f t="shared" si="39"/>
        <v>2.48</v>
      </c>
      <c r="J35" s="22">
        <f t="shared" si="0"/>
        <v>38135.716727618499</v>
      </c>
      <c r="K35" s="22">
        <f t="shared" si="1"/>
        <v>38135.716727618499</v>
      </c>
      <c r="L35" s="35"/>
      <c r="M35" s="28">
        <f t="shared" si="40"/>
        <v>557.54999999999995</v>
      </c>
      <c r="N35" s="14">
        <f t="shared" si="14"/>
        <v>7.0723709813320381</v>
      </c>
      <c r="O35" s="31">
        <f t="shared" si="15"/>
        <v>3943.2004406416777</v>
      </c>
      <c r="Q35" s="15">
        <f t="shared" si="41"/>
        <v>5</v>
      </c>
      <c r="R35" s="7">
        <f t="shared" si="16"/>
        <v>34.633816717405423</v>
      </c>
      <c r="S35" s="7">
        <f t="shared" si="17"/>
        <v>173.1690835870271</v>
      </c>
      <c r="U35" s="15">
        <f t="shared" si="42"/>
        <v>4</v>
      </c>
      <c r="V35" s="7">
        <f t="shared" si="18"/>
        <v>47.400486393265822</v>
      </c>
      <c r="W35" s="7">
        <f t="shared" si="19"/>
        <v>189.60194557306329</v>
      </c>
      <c r="Y35" s="15">
        <f t="shared" si="43"/>
        <v>2</v>
      </c>
      <c r="Z35" s="7">
        <f t="shared" si="20"/>
        <v>22.166162726417504</v>
      </c>
      <c r="AA35" s="22">
        <f t="shared" si="21"/>
        <v>44.332325452835008</v>
      </c>
      <c r="AB35" s="22"/>
      <c r="AC35" s="15">
        <f t="shared" si="44"/>
        <v>0</v>
      </c>
      <c r="AD35" s="7">
        <f t="shared" si="22"/>
        <v>0</v>
      </c>
      <c r="AE35" s="22">
        <f t="shared" si="23"/>
        <v>0</v>
      </c>
      <c r="AG35" s="15">
        <f t="shared" si="24"/>
        <v>7.2469085159231472</v>
      </c>
      <c r="AH35" s="22">
        <f t="shared" si="2"/>
        <v>17.972333119489406</v>
      </c>
      <c r="AJ35" s="7">
        <f t="shared" si="45"/>
        <v>75.84</v>
      </c>
      <c r="AK35" s="7">
        <f t="shared" si="25"/>
        <v>205.32907461782239</v>
      </c>
      <c r="AL35" s="22">
        <f t="shared" si="26"/>
        <v>15572.157019015651</v>
      </c>
      <c r="AN35" s="15">
        <f t="shared" si="46"/>
        <v>14</v>
      </c>
      <c r="AO35" s="7">
        <f t="shared" si="27"/>
        <v>234.20818585820291</v>
      </c>
      <c r="AP35" s="22">
        <f t="shared" si="28"/>
        <v>3278.914602014841</v>
      </c>
      <c r="AQ35" s="22"/>
      <c r="AR35" s="15">
        <f t="shared" si="47"/>
        <v>5</v>
      </c>
      <c r="AS35" s="7">
        <f t="shared" si="29"/>
        <v>425.83306519673255</v>
      </c>
      <c r="AT35" s="22">
        <f t="shared" si="30"/>
        <v>2129.1653259836626</v>
      </c>
      <c r="AV35" s="7">
        <f t="shared" si="48"/>
        <v>0</v>
      </c>
      <c r="AW35" s="7">
        <f t="shared" si="31"/>
        <v>0</v>
      </c>
      <c r="AX35" s="22">
        <f t="shared" si="49"/>
        <v>0</v>
      </c>
      <c r="AZ35" s="34">
        <f t="shared" si="32"/>
        <v>0</v>
      </c>
      <c r="BA35" s="22">
        <f t="shared" si="3"/>
        <v>0</v>
      </c>
      <c r="BC35" s="34">
        <f t="shared" si="33"/>
        <v>0</v>
      </c>
      <c r="BD35" s="22">
        <f t="shared" si="4"/>
        <v>0</v>
      </c>
      <c r="BF35" s="34">
        <f t="shared" si="34"/>
        <v>0</v>
      </c>
      <c r="BG35" s="22">
        <f t="shared" si="5"/>
        <v>0</v>
      </c>
      <c r="BI35" s="22">
        <f t="shared" si="6"/>
        <v>39.68</v>
      </c>
      <c r="BJ35" s="7"/>
      <c r="BK35" s="22">
        <f t="shared" si="7"/>
        <v>4576.2860073142201</v>
      </c>
      <c r="BM35" s="22" t="str">
        <f>IF(Almonds!$D$18&lt;0,(+S35+W35+AA35+AE35+AH35+AL35+AT35+AX35+BA35+BD35+BG35+BI35+BK35)*Almonds!$D$18/100,IF(Almonds!$D$18&gt;0,(+S35+W35+AA35+AE35+AH35+AL35+AT35+AX35+BA35+BD35+BG35+BI35+BK35)*Almonds!$D$18/100,""))</f>
        <v/>
      </c>
      <c r="BO35" s="22">
        <f t="shared" si="35"/>
        <v>29964.47908270247</v>
      </c>
      <c r="BQ35" s="22">
        <f t="shared" si="8"/>
        <v>8171.2376449160292</v>
      </c>
      <c r="BR35" s="22">
        <f t="shared" si="9"/>
        <v>8171.2376449160292</v>
      </c>
      <c r="BT35" s="162">
        <f t="shared" si="36"/>
        <v>1.6491953832749238</v>
      </c>
      <c r="BU35" s="163">
        <f t="shared" si="37"/>
        <v>1.6491953832749238</v>
      </c>
      <c r="BW35" s="7">
        <f>+'Almonds Margin - Baseline'!BN33</f>
        <v>303.76091984033587</v>
      </c>
      <c r="BX35" s="7">
        <f>+'Almonds Margin - Baseline'!BO33</f>
        <v>342.53720918596713</v>
      </c>
      <c r="BY35" s="7">
        <f>+'Almonds Margin - Baseline'!BP33</f>
        <v>302.558430539791</v>
      </c>
      <c r="BZ35" s="7">
        <f>+'Almonds Margin - Baseline'!BQ33</f>
        <v>129.60628895507148</v>
      </c>
    </row>
    <row r="36" spans="1:78" x14ac:dyDescent="0.2">
      <c r="A36" s="8">
        <f t="shared" si="10"/>
        <v>2050</v>
      </c>
      <c r="B36" s="34">
        <f t="shared" si="11"/>
        <v>15869.378896331569</v>
      </c>
      <c r="C36" s="122">
        <f t="shared" si="50"/>
        <v>15.86937889633157</v>
      </c>
      <c r="D36" s="122">
        <f t="shared" si="12"/>
        <v>15869.378896331569</v>
      </c>
      <c r="E36" s="121">
        <f t="shared" si="13"/>
        <v>15.86937889633157</v>
      </c>
      <c r="F36" s="122"/>
      <c r="G36" s="157">
        <f t="shared" si="38"/>
        <v>2.48</v>
      </c>
      <c r="H36" s="155">
        <f t="shared" si="39"/>
        <v>2.48</v>
      </c>
      <c r="J36" s="22">
        <f t="shared" si="0"/>
        <v>39356.059662902291</v>
      </c>
      <c r="K36" s="22">
        <f t="shared" si="1"/>
        <v>39356.059662902291</v>
      </c>
      <c r="L36" s="35"/>
      <c r="M36" s="28">
        <f t="shared" si="40"/>
        <v>557.54999999999995</v>
      </c>
      <c r="N36" s="14">
        <f t="shared" si="14"/>
        <v>7.173531752718378</v>
      </c>
      <c r="O36" s="31">
        <f t="shared" si="15"/>
        <v>3999.6026287281311</v>
      </c>
      <c r="Q36" s="15">
        <f t="shared" si="41"/>
        <v>5</v>
      </c>
      <c r="R36" s="7">
        <f t="shared" si="16"/>
        <v>35.129206965517938</v>
      </c>
      <c r="S36" s="7">
        <f t="shared" si="17"/>
        <v>175.64603482758969</v>
      </c>
      <c r="U36" s="15">
        <f t="shared" si="42"/>
        <v>4</v>
      </c>
      <c r="V36" s="7">
        <f t="shared" si="18"/>
        <v>48.078486710314714</v>
      </c>
      <c r="W36" s="7">
        <f t="shared" si="19"/>
        <v>192.31394684125885</v>
      </c>
      <c r="Y36" s="15">
        <f t="shared" si="43"/>
        <v>2</v>
      </c>
      <c r="Z36" s="7">
        <f t="shared" si="20"/>
        <v>22.48321992350153</v>
      </c>
      <c r="AA36" s="22">
        <f t="shared" si="21"/>
        <v>44.966439847003059</v>
      </c>
      <c r="AB36" s="22"/>
      <c r="AC36" s="15">
        <f t="shared" si="44"/>
        <v>0</v>
      </c>
      <c r="AD36" s="7">
        <f t="shared" si="22"/>
        <v>0</v>
      </c>
      <c r="AE36" s="22">
        <f t="shared" si="23"/>
        <v>0</v>
      </c>
      <c r="AG36" s="15">
        <f t="shared" si="24"/>
        <v>7.4788095884326884</v>
      </c>
      <c r="AH36" s="22">
        <f t="shared" si="2"/>
        <v>18.547447779313067</v>
      </c>
      <c r="AJ36" s="7">
        <f t="shared" si="45"/>
        <v>75.84</v>
      </c>
      <c r="AK36" s="7">
        <f t="shared" si="25"/>
        <v>211.89960500559272</v>
      </c>
      <c r="AL36" s="22">
        <f t="shared" si="26"/>
        <v>16070.466043624152</v>
      </c>
      <c r="AN36" s="15">
        <f t="shared" si="46"/>
        <v>14</v>
      </c>
      <c r="AO36" s="7">
        <f t="shared" si="27"/>
        <v>241.70284780566539</v>
      </c>
      <c r="AP36" s="22">
        <f t="shared" si="28"/>
        <v>3383.8398692793153</v>
      </c>
      <c r="AQ36" s="22"/>
      <c r="AR36" s="15">
        <f t="shared" si="47"/>
        <v>5</v>
      </c>
      <c r="AS36" s="7">
        <f t="shared" si="29"/>
        <v>439.45972328302793</v>
      </c>
      <c r="AT36" s="22">
        <f t="shared" si="30"/>
        <v>2197.2986164151398</v>
      </c>
      <c r="AV36" s="7">
        <f t="shared" si="48"/>
        <v>0</v>
      </c>
      <c r="AW36" s="7">
        <f t="shared" si="31"/>
        <v>0</v>
      </c>
      <c r="AX36" s="22">
        <f t="shared" si="49"/>
        <v>0</v>
      </c>
      <c r="AZ36" s="34">
        <f t="shared" si="32"/>
        <v>0</v>
      </c>
      <c r="BA36" s="22">
        <f t="shared" si="3"/>
        <v>0</v>
      </c>
      <c r="BC36" s="34">
        <f t="shared" si="33"/>
        <v>0</v>
      </c>
      <c r="BD36" s="22">
        <f t="shared" si="4"/>
        <v>0</v>
      </c>
      <c r="BF36" s="34">
        <f t="shared" si="34"/>
        <v>0</v>
      </c>
      <c r="BG36" s="22">
        <f t="shared" si="5"/>
        <v>0</v>
      </c>
      <c r="BI36" s="22">
        <f t="shared" si="6"/>
        <v>39.68</v>
      </c>
      <c r="BJ36" s="7"/>
      <c r="BK36" s="22">
        <f t="shared" si="7"/>
        <v>4722.7271595482744</v>
      </c>
      <c r="BM36" s="22" t="str">
        <f>IF(Almonds!$D$18&lt;0,(+S36+W36+AA36+AE36+AH36+AL36+AT36+AX36+BA36+BD36+BG36+BI36+BK36)*Almonds!$D$18/100,IF(Almonds!$D$18&gt;0,(+S36+W36+AA36+AE36+AH36+AL36+AT36+AX36+BA36+BD36+BG36+BI36+BK36)*Almonds!$D$18/100,""))</f>
        <v/>
      </c>
      <c r="BO36" s="22">
        <f t="shared" si="35"/>
        <v>30845.088186890178</v>
      </c>
      <c r="BQ36" s="22">
        <f t="shared" si="8"/>
        <v>8510.9714760121133</v>
      </c>
      <c r="BR36" s="22">
        <f t="shared" si="9"/>
        <v>8510.9714760121133</v>
      </c>
      <c r="BT36" s="162">
        <f t="shared" si="36"/>
        <v>1.6443385739202452</v>
      </c>
      <c r="BU36" s="163">
        <f t="shared" si="37"/>
        <v>1.6443385739202452</v>
      </c>
      <c r="BW36" s="7">
        <f>+'Almonds Margin - Baseline'!BN34</f>
        <v>313.48126927522662</v>
      </c>
      <c r="BX36" s="7">
        <f>+'Almonds Margin - Baseline'!BO34</f>
        <v>353.49839987991805</v>
      </c>
      <c r="BY36" s="7">
        <f>+'Almonds Margin - Baseline'!BP34</f>
        <v>312.24030031706434</v>
      </c>
      <c r="BZ36" s="7">
        <f>+'Almonds Margin - Baseline'!BQ34</f>
        <v>131.46013290667179</v>
      </c>
    </row>
    <row r="37" spans="1:78" s="100" customFormat="1" x14ac:dyDescent="0.2">
      <c r="A37" s="100">
        <f t="shared" si="10"/>
        <v>2051</v>
      </c>
      <c r="B37" s="106">
        <f t="shared" si="11"/>
        <v>16377.199021014181</v>
      </c>
      <c r="C37" s="125">
        <f t="shared" si="50"/>
        <v>16.377199021014182</v>
      </c>
      <c r="D37" s="125">
        <f t="shared" si="12"/>
        <v>16377.199021014181</v>
      </c>
      <c r="E37" s="121">
        <f t="shared" si="13"/>
        <v>16.377199021014182</v>
      </c>
      <c r="F37" s="125"/>
      <c r="G37" s="157">
        <f t="shared" si="38"/>
        <v>2.48</v>
      </c>
      <c r="H37" s="155">
        <f t="shared" si="39"/>
        <v>2.48</v>
      </c>
      <c r="J37" s="112">
        <f t="shared" si="0"/>
        <v>40615.45357211517</v>
      </c>
      <c r="K37" s="112">
        <f t="shared" si="1"/>
        <v>40615.45357211517</v>
      </c>
      <c r="L37" s="107"/>
      <c r="M37" s="108">
        <f t="shared" si="40"/>
        <v>557.54999999999995</v>
      </c>
      <c r="N37" s="109">
        <f t="shared" si="14"/>
        <v>7.2646153246270728</v>
      </c>
      <c r="O37" s="101">
        <f t="shared" si="15"/>
        <v>4050.3862742458241</v>
      </c>
      <c r="Q37" s="110">
        <f t="shared" si="41"/>
        <v>5</v>
      </c>
      <c r="R37" s="111">
        <f t="shared" si="16"/>
        <v>35.575248575011983</v>
      </c>
      <c r="S37" s="111">
        <f t="shared" si="17"/>
        <v>177.87624287505992</v>
      </c>
      <c r="U37" s="110">
        <f t="shared" si="42"/>
        <v>4</v>
      </c>
      <c r="V37" s="111">
        <f t="shared" si="18"/>
        <v>48.688947561746886</v>
      </c>
      <c r="W37" s="111">
        <f t="shared" si="19"/>
        <v>194.75579024698754</v>
      </c>
      <c r="Y37" s="110">
        <f t="shared" si="43"/>
        <v>2</v>
      </c>
      <c r="Z37" s="111">
        <f t="shared" si="20"/>
        <v>22.768693250899183</v>
      </c>
      <c r="AA37" s="112">
        <f t="shared" si="21"/>
        <v>45.537386501798366</v>
      </c>
      <c r="AB37" s="112"/>
      <c r="AC37" s="110">
        <f t="shared" si="44"/>
        <v>0</v>
      </c>
      <c r="AD37" s="111">
        <f t="shared" si="22"/>
        <v>0</v>
      </c>
      <c r="AE37" s="112">
        <f t="shared" si="23"/>
        <v>0</v>
      </c>
      <c r="AG37" s="110">
        <f t="shared" si="24"/>
        <v>7.7181314952625346</v>
      </c>
      <c r="AH37" s="112">
        <f t="shared" si="2"/>
        <v>19.140966108251085</v>
      </c>
      <c r="AJ37" s="111">
        <f t="shared" si="45"/>
        <v>75.84</v>
      </c>
      <c r="AK37" s="111">
        <f t="shared" si="25"/>
        <v>218.6803923657717</v>
      </c>
      <c r="AL37" s="112">
        <f t="shared" si="26"/>
        <v>16584.720957020127</v>
      </c>
      <c r="AN37" s="110">
        <f t="shared" si="46"/>
        <v>14</v>
      </c>
      <c r="AO37" s="111">
        <f t="shared" si="27"/>
        <v>249.43733893544669</v>
      </c>
      <c r="AP37" s="112">
        <f t="shared" si="28"/>
        <v>3492.1227450962538</v>
      </c>
      <c r="AQ37" s="112"/>
      <c r="AR37" s="110">
        <f t="shared" si="47"/>
        <v>5</v>
      </c>
      <c r="AS37" s="111">
        <f t="shared" si="29"/>
        <v>453.52243442808486</v>
      </c>
      <c r="AT37" s="112">
        <f t="shared" si="30"/>
        <v>2267.6121721404243</v>
      </c>
      <c r="AV37" s="111">
        <f t="shared" si="48"/>
        <v>0</v>
      </c>
      <c r="AW37" s="111">
        <f t="shared" si="31"/>
        <v>0</v>
      </c>
      <c r="AX37" s="112">
        <f t="shared" si="49"/>
        <v>0</v>
      </c>
      <c r="AZ37" s="106">
        <f t="shared" si="32"/>
        <v>0</v>
      </c>
      <c r="BA37" s="112">
        <f t="shared" si="3"/>
        <v>0</v>
      </c>
      <c r="BC37" s="106">
        <f t="shared" si="33"/>
        <v>0</v>
      </c>
      <c r="BD37" s="112">
        <f t="shared" si="4"/>
        <v>0</v>
      </c>
      <c r="BF37" s="106">
        <f t="shared" si="34"/>
        <v>0</v>
      </c>
      <c r="BG37" s="112">
        <f t="shared" si="5"/>
        <v>0</v>
      </c>
      <c r="BI37" s="112">
        <f t="shared" si="6"/>
        <v>39.68</v>
      </c>
      <c r="BJ37" s="111"/>
      <c r="BK37" s="112">
        <f t="shared" si="7"/>
        <v>4873.8544286538199</v>
      </c>
      <c r="BM37" s="112" t="str">
        <f>IF(Almonds!$D$18&lt;0,(+S37+W37+AA37+AE37+AH37+AL37+AT37+AX37+BA37+BD37+BG37+BI37+BK37)*Almonds!$D$18/100,IF(Almonds!$D$18&gt;0,(+S37+W37+AA37+AE37+AH37+AL37+AT37+AX37+BA37+BD37+BG37+BI37+BK37)*Almonds!$D$18/100,""))</f>
        <v/>
      </c>
      <c r="BO37" s="112">
        <f t="shared" si="35"/>
        <v>31745.686962888543</v>
      </c>
      <c r="BQ37" s="112">
        <f t="shared" si="8"/>
        <v>8869.7666092266263</v>
      </c>
      <c r="BR37" s="112">
        <f t="shared" si="9"/>
        <v>8869.7666092266263</v>
      </c>
      <c r="BT37" s="164">
        <f t="shared" si="36"/>
        <v>1.6391317036611817</v>
      </c>
      <c r="BU37" s="165">
        <f t="shared" si="37"/>
        <v>1.6391317036611817</v>
      </c>
      <c r="BW37" s="111">
        <f>+'Almonds Margin - Baseline'!BN35</f>
        <v>323.5126698920339</v>
      </c>
      <c r="BX37" s="111">
        <f>+'Almonds Margin - Baseline'!BO35</f>
        <v>364.81034867607542</v>
      </c>
      <c r="BY37" s="111">
        <f>+'Almonds Margin - Baseline'!BP35</f>
        <v>322.23198992721041</v>
      </c>
      <c r="BZ37" s="111">
        <f>+'Almonds Margin - Baseline'!BQ35</f>
        <v>133.12930492423399</v>
      </c>
    </row>
    <row r="38" spans="1:78" s="100" customFormat="1" x14ac:dyDescent="0.2">
      <c r="A38" s="100">
        <f t="shared" si="10"/>
        <v>2052</v>
      </c>
      <c r="B38" s="106">
        <f t="shared" si="11"/>
        <v>16901.269389686637</v>
      </c>
      <c r="C38" s="125">
        <f t="shared" si="50"/>
        <v>16.901269389686636</v>
      </c>
      <c r="D38" s="125">
        <f t="shared" si="12"/>
        <v>16901.269389686637</v>
      </c>
      <c r="E38" s="121">
        <f t="shared" si="13"/>
        <v>16.901269389686636</v>
      </c>
      <c r="F38" s="125"/>
      <c r="G38" s="157">
        <f t="shared" si="38"/>
        <v>2.48</v>
      </c>
      <c r="H38" s="155">
        <f t="shared" si="39"/>
        <v>2.48</v>
      </c>
      <c r="J38" s="112">
        <f t="shared" si="0"/>
        <v>41915.148086422858</v>
      </c>
      <c r="K38" s="112">
        <f t="shared" si="1"/>
        <v>41915.148086422858</v>
      </c>
      <c r="L38" s="107"/>
      <c r="M38" s="108">
        <f t="shared" si="40"/>
        <v>557.54999999999995</v>
      </c>
      <c r="N38" s="109">
        <f t="shared" si="14"/>
        <v>7.3444263581051334</v>
      </c>
      <c r="O38" s="101">
        <f t="shared" si="15"/>
        <v>4094.884915961517</v>
      </c>
      <c r="Q38" s="110">
        <f t="shared" si="41"/>
        <v>5</v>
      </c>
      <c r="R38" s="111">
        <f t="shared" si="16"/>
        <v>35.966087900720716</v>
      </c>
      <c r="S38" s="111">
        <f t="shared" si="17"/>
        <v>179.83043950360357</v>
      </c>
      <c r="U38" s="110">
        <f t="shared" si="42"/>
        <v>4</v>
      </c>
      <c r="V38" s="111">
        <f t="shared" si="18"/>
        <v>49.223857539800207</v>
      </c>
      <c r="W38" s="111">
        <f t="shared" si="19"/>
        <v>196.89543015920083</v>
      </c>
      <c r="Y38" s="110">
        <f t="shared" si="43"/>
        <v>2</v>
      </c>
      <c r="Z38" s="111">
        <f t="shared" si="20"/>
        <v>23.018836287811119</v>
      </c>
      <c r="AA38" s="112">
        <f t="shared" si="21"/>
        <v>46.037672575622238</v>
      </c>
      <c r="AB38" s="112"/>
      <c r="AC38" s="110">
        <f t="shared" si="44"/>
        <v>0</v>
      </c>
      <c r="AD38" s="111">
        <f t="shared" si="22"/>
        <v>0</v>
      </c>
      <c r="AE38" s="112">
        <f t="shared" si="23"/>
        <v>0</v>
      </c>
      <c r="AG38" s="110">
        <f t="shared" si="24"/>
        <v>7.965111703110936</v>
      </c>
      <c r="AH38" s="112">
        <f t="shared" si="2"/>
        <v>19.753477023715121</v>
      </c>
      <c r="AJ38" s="111">
        <f t="shared" si="45"/>
        <v>75.84</v>
      </c>
      <c r="AK38" s="111">
        <f t="shared" si="25"/>
        <v>225.67816492147639</v>
      </c>
      <c r="AL38" s="112">
        <f t="shared" si="26"/>
        <v>17115.432027644769</v>
      </c>
      <c r="AN38" s="110">
        <f t="shared" si="46"/>
        <v>14</v>
      </c>
      <c r="AO38" s="111">
        <f t="shared" si="27"/>
        <v>257.419333781381</v>
      </c>
      <c r="AP38" s="112">
        <f t="shared" si="28"/>
        <v>3603.8706729393339</v>
      </c>
      <c r="AQ38" s="112"/>
      <c r="AR38" s="110">
        <f t="shared" si="47"/>
        <v>5</v>
      </c>
      <c r="AS38" s="111">
        <f t="shared" si="29"/>
        <v>468.03515232978361</v>
      </c>
      <c r="AT38" s="112">
        <f t="shared" si="30"/>
        <v>2340.1757616489181</v>
      </c>
      <c r="AV38" s="111">
        <f t="shared" si="48"/>
        <v>0</v>
      </c>
      <c r="AW38" s="111">
        <f t="shared" si="31"/>
        <v>0</v>
      </c>
      <c r="AX38" s="112">
        <f t="shared" si="49"/>
        <v>0</v>
      </c>
      <c r="AZ38" s="106">
        <f t="shared" si="32"/>
        <v>0</v>
      </c>
      <c r="BA38" s="112">
        <f t="shared" si="3"/>
        <v>0</v>
      </c>
      <c r="BC38" s="106">
        <f t="shared" si="33"/>
        <v>0</v>
      </c>
      <c r="BD38" s="112">
        <f t="shared" si="4"/>
        <v>0</v>
      </c>
      <c r="BF38" s="106">
        <f t="shared" si="34"/>
        <v>0</v>
      </c>
      <c r="BG38" s="112">
        <f t="shared" si="5"/>
        <v>0</v>
      </c>
      <c r="BI38" s="112">
        <f t="shared" si="6"/>
        <v>39.68</v>
      </c>
      <c r="BJ38" s="111"/>
      <c r="BK38" s="112">
        <f t="shared" si="7"/>
        <v>5029.8177703707424</v>
      </c>
      <c r="BM38" s="112" t="str">
        <f>IF(Almonds!$D$18&lt;0,(+S38+W38+AA38+AE38+AH38+AL38+AT38+AX38+BA38+BD38+BG38+BI38+BK38)*Almonds!$D$18/100,IF(Almonds!$D$18&gt;0,(+S38+W38+AA38+AE38+AH38+AL38+AT38+AX38+BA38+BD38+BG38+BI38+BK38)*Almonds!$D$18/100,""))</f>
        <v/>
      </c>
      <c r="BO38" s="112">
        <f t="shared" si="35"/>
        <v>32666.378167827424</v>
      </c>
      <c r="BQ38" s="112">
        <f t="shared" si="8"/>
        <v>9248.7699185954334</v>
      </c>
      <c r="BR38" s="112">
        <f t="shared" si="9"/>
        <v>9248.7699185954334</v>
      </c>
      <c r="BT38" s="164">
        <f t="shared" si="36"/>
        <v>1.633569346680958</v>
      </c>
      <c r="BU38" s="165">
        <f t="shared" si="37"/>
        <v>1.633569346680958</v>
      </c>
      <c r="BW38" s="111">
        <f>+'Almonds Margin - Baseline'!BN36</f>
        <v>333.865075328579</v>
      </c>
      <c r="BX38" s="111">
        <f>+'Almonds Margin - Baseline'!BO36</f>
        <v>376.48427983370982</v>
      </c>
      <c r="BY38" s="111">
        <f>+'Almonds Margin - Baseline'!BP36</f>
        <v>332.54341360488115</v>
      </c>
      <c r="BZ38" s="111">
        <f>+'Almonds Margin - Baseline'!BQ36</f>
        <v>134.59189956103458</v>
      </c>
    </row>
    <row r="39" spans="1:78" s="100" customFormat="1" x14ac:dyDescent="0.2">
      <c r="A39" s="100">
        <f t="shared" si="10"/>
        <v>2053</v>
      </c>
      <c r="B39" s="106">
        <f t="shared" si="11"/>
        <v>17442.110010156608</v>
      </c>
      <c r="C39" s="125">
        <f t="shared" si="50"/>
        <v>17.442110010156608</v>
      </c>
      <c r="D39" s="125">
        <f t="shared" si="12"/>
        <v>17442.110010156608</v>
      </c>
      <c r="E39" s="121">
        <f t="shared" si="13"/>
        <v>17.442110010156608</v>
      </c>
      <c r="F39" s="125"/>
      <c r="G39" s="157">
        <f t="shared" si="38"/>
        <v>2.48</v>
      </c>
      <c r="H39" s="155">
        <f t="shared" si="39"/>
        <v>2.48</v>
      </c>
      <c r="J39" s="112">
        <f t="shared" si="0"/>
        <v>43256.432825188385</v>
      </c>
      <c r="K39" s="112">
        <f t="shared" si="1"/>
        <v>43256.432825188385</v>
      </c>
      <c r="L39" s="107"/>
      <c r="M39" s="108">
        <f t="shared" si="40"/>
        <v>557.54999999999995</v>
      </c>
      <c r="N39" s="109">
        <f t="shared" si="14"/>
        <v>7.4102426923411846</v>
      </c>
      <c r="O39" s="101">
        <f t="shared" si="15"/>
        <v>4131.5808131148269</v>
      </c>
      <c r="Q39" s="110">
        <f t="shared" si="41"/>
        <v>5</v>
      </c>
      <c r="R39" s="111">
        <f t="shared" si="16"/>
        <v>36.288394361023734</v>
      </c>
      <c r="S39" s="111">
        <f t="shared" si="17"/>
        <v>181.44197180511867</v>
      </c>
      <c r="U39" s="110">
        <f t="shared" si="42"/>
        <v>4</v>
      </c>
      <c r="V39" s="111">
        <f t="shared" si="18"/>
        <v>49.66497216227198</v>
      </c>
      <c r="W39" s="111">
        <f t="shared" si="19"/>
        <v>198.65988864908792</v>
      </c>
      <c r="Y39" s="110">
        <f t="shared" si="43"/>
        <v>2</v>
      </c>
      <c r="Z39" s="111">
        <f t="shared" si="20"/>
        <v>23.22511726184139</v>
      </c>
      <c r="AA39" s="112">
        <f t="shared" si="21"/>
        <v>46.450234523682781</v>
      </c>
      <c r="AB39" s="112"/>
      <c r="AC39" s="110">
        <f t="shared" si="44"/>
        <v>0</v>
      </c>
      <c r="AD39" s="111">
        <f t="shared" si="22"/>
        <v>0</v>
      </c>
      <c r="AE39" s="112">
        <f t="shared" si="23"/>
        <v>0</v>
      </c>
      <c r="AG39" s="110">
        <f t="shared" si="24"/>
        <v>8.2199952776104865</v>
      </c>
      <c r="AH39" s="112">
        <f t="shared" si="2"/>
        <v>20.385588288474008</v>
      </c>
      <c r="AJ39" s="111">
        <f t="shared" si="45"/>
        <v>75.84</v>
      </c>
      <c r="AK39" s="111">
        <f t="shared" si="25"/>
        <v>232.89986619896365</v>
      </c>
      <c r="AL39" s="112">
        <f t="shared" si="26"/>
        <v>17663.125852529403</v>
      </c>
      <c r="AN39" s="110">
        <f t="shared" si="46"/>
        <v>14</v>
      </c>
      <c r="AO39" s="111">
        <f t="shared" si="27"/>
        <v>265.65675246238521</v>
      </c>
      <c r="AP39" s="112">
        <f t="shared" si="28"/>
        <v>3719.1945344733931</v>
      </c>
      <c r="AQ39" s="112"/>
      <c r="AR39" s="110">
        <f t="shared" si="47"/>
        <v>5</v>
      </c>
      <c r="AS39" s="111">
        <f t="shared" si="29"/>
        <v>483.01227720433661</v>
      </c>
      <c r="AT39" s="112">
        <f t="shared" si="30"/>
        <v>2415.0613860216831</v>
      </c>
      <c r="AV39" s="111">
        <f t="shared" si="48"/>
        <v>0</v>
      </c>
      <c r="AW39" s="111">
        <f t="shared" si="31"/>
        <v>0</v>
      </c>
      <c r="AX39" s="112">
        <f t="shared" si="49"/>
        <v>0</v>
      </c>
      <c r="AZ39" s="106">
        <f t="shared" si="32"/>
        <v>0</v>
      </c>
      <c r="BA39" s="112">
        <f t="shared" si="3"/>
        <v>0</v>
      </c>
      <c r="BC39" s="106">
        <f t="shared" si="33"/>
        <v>0</v>
      </c>
      <c r="BD39" s="112">
        <f t="shared" si="4"/>
        <v>0</v>
      </c>
      <c r="BF39" s="106">
        <f t="shared" si="34"/>
        <v>0</v>
      </c>
      <c r="BG39" s="112">
        <f t="shared" si="5"/>
        <v>0</v>
      </c>
      <c r="BI39" s="112">
        <f t="shared" si="6"/>
        <v>39.68</v>
      </c>
      <c r="BJ39" s="111"/>
      <c r="BK39" s="112">
        <f t="shared" si="7"/>
        <v>5190.7719390226057</v>
      </c>
      <c r="BM39" s="112" t="str">
        <f>IF(Almonds!$D$18&lt;0,(+S39+W39+AA39+AE39+AH39+AL39+AT39+AX39+BA39+BD39+BG39+BI39+BK39)*Almonds!$D$18/100,IF(Almonds!$D$18&gt;0,(+S39+W39+AA39+AE39+AH39+AL39+AT39+AX39+BA39+BD39+BG39+BI39+BK39)*Almonds!$D$18/100,""))</f>
        <v/>
      </c>
      <c r="BO39" s="112">
        <f t="shared" si="35"/>
        <v>33606.352208428281</v>
      </c>
      <c r="BQ39" s="112">
        <f t="shared" si="8"/>
        <v>9650.080616760104</v>
      </c>
      <c r="BR39" s="112">
        <f t="shared" si="9"/>
        <v>9650.080616760104</v>
      </c>
      <c r="BT39" s="164">
        <f t="shared" si="36"/>
        <v>1.6275951791273158</v>
      </c>
      <c r="BU39" s="165">
        <f t="shared" si="37"/>
        <v>1.6275951791273158</v>
      </c>
      <c r="BW39" s="111">
        <f>+'Almonds Margin - Baseline'!BN37</f>
        <v>344.5487577390935</v>
      </c>
      <c r="BX39" s="111">
        <f>+'Almonds Margin - Baseline'!BO37</f>
        <v>388.53177678838853</v>
      </c>
      <c r="BY39" s="111">
        <f>+'Almonds Margin - Baseline'!BP37</f>
        <v>343.18480284023735</v>
      </c>
      <c r="BZ39" s="111">
        <f>+'Almonds Margin - Baseline'!BQ37</f>
        <v>135.79803126078241</v>
      </c>
    </row>
    <row r="40" spans="1:78" s="100" customFormat="1" x14ac:dyDescent="0.2">
      <c r="A40" s="100">
        <f t="shared" si="10"/>
        <v>2054</v>
      </c>
      <c r="B40" s="106">
        <f t="shared" si="11"/>
        <v>18000.25753048162</v>
      </c>
      <c r="C40" s="125">
        <f t="shared" si="50"/>
        <v>18.000257530481619</v>
      </c>
      <c r="D40" s="125">
        <f t="shared" si="12"/>
        <v>18000.25753048162</v>
      </c>
      <c r="E40" s="121">
        <f t="shared" si="13"/>
        <v>18.000257530481619</v>
      </c>
      <c r="F40" s="125"/>
      <c r="G40" s="157">
        <f t="shared" si="38"/>
        <v>2.48</v>
      </c>
      <c r="H40" s="155">
        <f t="shared" si="39"/>
        <v>2.48</v>
      </c>
      <c r="J40" s="112">
        <f t="shared" si="0"/>
        <v>44640.638675594419</v>
      </c>
      <c r="K40" s="112">
        <f t="shared" si="1"/>
        <v>44640.638675594419</v>
      </c>
      <c r="L40" s="107"/>
      <c r="M40" s="108">
        <f t="shared" si="40"/>
        <v>557.54999999999995</v>
      </c>
      <c r="N40" s="109">
        <f t="shared" si="14"/>
        <v>7.462508482969997</v>
      </c>
      <c r="O40" s="101">
        <f t="shared" si="15"/>
        <v>4160.7216046799213</v>
      </c>
      <c r="Q40" s="110">
        <f t="shared" si="41"/>
        <v>5</v>
      </c>
      <c r="R40" s="111">
        <f t="shared" si="16"/>
        <v>36.544343012191298</v>
      </c>
      <c r="S40" s="111">
        <f t="shared" si="17"/>
        <v>182.72171506095648</v>
      </c>
      <c r="U40" s="110">
        <f t="shared" si="42"/>
        <v>4</v>
      </c>
      <c r="V40" s="111">
        <f t="shared" si="18"/>
        <v>50.015268251670236</v>
      </c>
      <c r="W40" s="111">
        <f t="shared" si="19"/>
        <v>200.06107300668094</v>
      </c>
      <c r="Y40" s="110">
        <f t="shared" si="43"/>
        <v>2</v>
      </c>
      <c r="Z40" s="111">
        <f t="shared" si="20"/>
        <v>23.388928241661475</v>
      </c>
      <c r="AA40" s="112">
        <f t="shared" si="21"/>
        <v>46.77785648332295</v>
      </c>
      <c r="AB40" s="112"/>
      <c r="AC40" s="110">
        <f t="shared" si="44"/>
        <v>0</v>
      </c>
      <c r="AD40" s="111">
        <f t="shared" si="22"/>
        <v>0</v>
      </c>
      <c r="AE40" s="112">
        <f t="shared" si="23"/>
        <v>0</v>
      </c>
      <c r="AG40" s="110">
        <f t="shared" si="24"/>
        <v>8.4830351264940216</v>
      </c>
      <c r="AH40" s="112">
        <f t="shared" si="2"/>
        <v>21.037927113705173</v>
      </c>
      <c r="AJ40" s="111">
        <f t="shared" si="45"/>
        <v>75.84</v>
      </c>
      <c r="AK40" s="111">
        <f t="shared" si="25"/>
        <v>240.35266191733049</v>
      </c>
      <c r="AL40" s="112">
        <f t="shared" si="26"/>
        <v>18228.345879810346</v>
      </c>
      <c r="AN40" s="110">
        <f t="shared" si="46"/>
        <v>14</v>
      </c>
      <c r="AO40" s="111">
        <f t="shared" si="27"/>
        <v>274.15776854118155</v>
      </c>
      <c r="AP40" s="112">
        <f t="shared" si="28"/>
        <v>3838.2087595765415</v>
      </c>
      <c r="AQ40" s="112"/>
      <c r="AR40" s="110">
        <f t="shared" si="47"/>
        <v>5</v>
      </c>
      <c r="AS40" s="111">
        <f t="shared" si="29"/>
        <v>498.46867007487543</v>
      </c>
      <c r="AT40" s="112">
        <f t="shared" si="30"/>
        <v>2492.3433503743772</v>
      </c>
      <c r="AV40" s="111">
        <f t="shared" si="48"/>
        <v>0</v>
      </c>
      <c r="AW40" s="111">
        <f t="shared" si="31"/>
        <v>0</v>
      </c>
      <c r="AX40" s="112">
        <f t="shared" si="49"/>
        <v>0</v>
      </c>
      <c r="AZ40" s="106">
        <f t="shared" si="32"/>
        <v>0</v>
      </c>
      <c r="BA40" s="112">
        <f t="shared" si="3"/>
        <v>0</v>
      </c>
      <c r="BC40" s="106">
        <f t="shared" si="33"/>
        <v>0</v>
      </c>
      <c r="BD40" s="112">
        <f t="shared" si="4"/>
        <v>0</v>
      </c>
      <c r="BF40" s="106">
        <f t="shared" si="34"/>
        <v>0</v>
      </c>
      <c r="BG40" s="112">
        <f t="shared" si="5"/>
        <v>0</v>
      </c>
      <c r="BI40" s="112">
        <f t="shared" si="6"/>
        <v>39.68</v>
      </c>
      <c r="BJ40" s="111"/>
      <c r="BK40" s="112">
        <f t="shared" si="7"/>
        <v>5356.8766410713297</v>
      </c>
      <c r="BM40" s="112" t="str">
        <f>IF(Almonds!$D$18&lt;0,(+S40+W40+AA40+AE40+AH40+AL40+AT40+AX40+BA40+BD40+BG40+BI40+BK40)*Almonds!$D$18/100,IF(Almonds!$D$18&gt;0,(+S40+W40+AA40+AE40+AH40+AL40+AT40+AX40+BA40+BD40+BG40+BI40+BK40)*Almonds!$D$18/100,""))</f>
        <v/>
      </c>
      <c r="BO40" s="112">
        <f t="shared" si="35"/>
        <v>34566.774807177178</v>
      </c>
      <c r="BQ40" s="112">
        <f t="shared" si="8"/>
        <v>10073.86386841724</v>
      </c>
      <c r="BR40" s="112">
        <f t="shared" si="9"/>
        <v>10073.86386841724</v>
      </c>
      <c r="BT40" s="164">
        <f t="shared" si="36"/>
        <v>1.621270604733692</v>
      </c>
      <c r="BU40" s="165">
        <f t="shared" si="37"/>
        <v>1.621270604733692</v>
      </c>
      <c r="BW40" s="111">
        <f>+'Almonds Margin - Baseline'!BN38</f>
        <v>355.57431798674452</v>
      </c>
      <c r="BX40" s="111">
        <f>+'Almonds Margin - Baseline'!BO38</f>
        <v>400.96479364561696</v>
      </c>
      <c r="BY40" s="111">
        <f>+'Almonds Margin - Baseline'!BP38</f>
        <v>354.16671653112496</v>
      </c>
      <c r="BZ40" s="111">
        <f>+'Almonds Margin - Baseline'!BQ38</f>
        <v>136.75583949518972</v>
      </c>
    </row>
    <row r="41" spans="1:78" s="100" customFormat="1" x14ac:dyDescent="0.2">
      <c r="A41" s="100">
        <f t="shared" si="10"/>
        <v>2055</v>
      </c>
      <c r="B41" s="106">
        <f t="shared" si="11"/>
        <v>18576.265771457034</v>
      </c>
      <c r="C41" s="125">
        <f t="shared" si="50"/>
        <v>18.576265771457035</v>
      </c>
      <c r="D41" s="125">
        <f t="shared" si="12"/>
        <v>18576.265771457034</v>
      </c>
      <c r="E41" s="121">
        <f t="shared" si="13"/>
        <v>18.576265771457035</v>
      </c>
      <c r="F41" s="125"/>
      <c r="G41" s="157">
        <f t="shared" si="38"/>
        <v>2.48</v>
      </c>
      <c r="H41" s="155">
        <f t="shared" si="39"/>
        <v>2.48</v>
      </c>
      <c r="J41" s="112">
        <f t="shared" si="0"/>
        <v>46069.139113213445</v>
      </c>
      <c r="K41" s="112">
        <f t="shared" si="1"/>
        <v>46069.139113213445</v>
      </c>
      <c r="L41" s="107"/>
      <c r="M41" s="108">
        <f t="shared" si="40"/>
        <v>557.54999999999995</v>
      </c>
      <c r="N41" s="109">
        <f t="shared" si="14"/>
        <v>7.500881252711725</v>
      </c>
      <c r="O41" s="101">
        <f t="shared" si="15"/>
        <v>4182.1163424494216</v>
      </c>
      <c r="Q41" s="110">
        <f t="shared" si="41"/>
        <v>5</v>
      </c>
      <c r="R41" s="111">
        <f t="shared" si="16"/>
        <v>36.732256722838294</v>
      </c>
      <c r="S41" s="111">
        <f t="shared" si="17"/>
        <v>183.66128361419146</v>
      </c>
      <c r="U41" s="110">
        <f t="shared" si="42"/>
        <v>4</v>
      </c>
      <c r="V41" s="111">
        <f t="shared" si="18"/>
        <v>50.272450454755415</v>
      </c>
      <c r="W41" s="111">
        <f t="shared" si="19"/>
        <v>201.08980181902166</v>
      </c>
      <c r="Y41" s="110">
        <f t="shared" si="43"/>
        <v>2</v>
      </c>
      <c r="Z41" s="111">
        <f t="shared" si="20"/>
        <v>23.509195838002736</v>
      </c>
      <c r="AA41" s="112">
        <f t="shared" si="21"/>
        <v>47.018391676005471</v>
      </c>
      <c r="AB41" s="112"/>
      <c r="AC41" s="110">
        <f t="shared" si="44"/>
        <v>0</v>
      </c>
      <c r="AD41" s="111">
        <f t="shared" si="22"/>
        <v>0</v>
      </c>
      <c r="AE41" s="112">
        <f t="shared" si="23"/>
        <v>0</v>
      </c>
      <c r="AG41" s="110">
        <f t="shared" si="24"/>
        <v>8.7544922505418299</v>
      </c>
      <c r="AH41" s="112">
        <f t="shared" si="2"/>
        <v>21.711140781343737</v>
      </c>
      <c r="AJ41" s="111">
        <f t="shared" si="45"/>
        <v>75.84</v>
      </c>
      <c r="AK41" s="111">
        <f t="shared" si="25"/>
        <v>248.04394709868507</v>
      </c>
      <c r="AL41" s="112">
        <f t="shared" si="26"/>
        <v>18811.652947964278</v>
      </c>
      <c r="AN41" s="110">
        <f t="shared" si="46"/>
        <v>14</v>
      </c>
      <c r="AO41" s="111">
        <f t="shared" si="27"/>
        <v>282.93081713449936</v>
      </c>
      <c r="AP41" s="112">
        <f t="shared" si="28"/>
        <v>3961.031439882991</v>
      </c>
      <c r="AQ41" s="112"/>
      <c r="AR41" s="110">
        <f t="shared" si="47"/>
        <v>5</v>
      </c>
      <c r="AS41" s="111">
        <f t="shared" si="29"/>
        <v>514.41966751727148</v>
      </c>
      <c r="AT41" s="112">
        <f t="shared" si="30"/>
        <v>2572.0983375863575</v>
      </c>
      <c r="AV41" s="111">
        <f t="shared" si="48"/>
        <v>0</v>
      </c>
      <c r="AW41" s="111">
        <f t="shared" si="31"/>
        <v>0</v>
      </c>
      <c r="AX41" s="112">
        <f t="shared" si="49"/>
        <v>0</v>
      </c>
      <c r="AZ41" s="106">
        <f t="shared" si="32"/>
        <v>0</v>
      </c>
      <c r="BA41" s="112">
        <f t="shared" si="3"/>
        <v>0</v>
      </c>
      <c r="BC41" s="106">
        <f t="shared" si="33"/>
        <v>0</v>
      </c>
      <c r="BD41" s="112">
        <f t="shared" si="4"/>
        <v>0</v>
      </c>
      <c r="BF41" s="106">
        <f t="shared" si="34"/>
        <v>0</v>
      </c>
      <c r="BG41" s="112">
        <f t="shared" si="5"/>
        <v>0</v>
      </c>
      <c r="BI41" s="112">
        <f t="shared" si="6"/>
        <v>39.68</v>
      </c>
      <c r="BJ41" s="111"/>
      <c r="BK41" s="112">
        <f t="shared" si="7"/>
        <v>5528.296693585613</v>
      </c>
      <c r="BM41" s="112" t="str">
        <f>IF(Almonds!$D$18&lt;0,(+S41+W41+AA41+AE41+AH41+AL41+AT41+AX41+BA41+BD41+BG41+BI41+BK41)*Almonds!$D$18/100,IF(Almonds!$D$18&gt;0,(+S41+W41+AA41+AE41+AH41+AL41+AT41+AX41+BA41+BD41+BG41+BI41+BK41)*Almonds!$D$18/100,""))</f>
        <v/>
      </c>
      <c r="BO41" s="112">
        <f t="shared" si="35"/>
        <v>35548.356379359218</v>
      </c>
      <c r="BQ41" s="112">
        <f t="shared" si="8"/>
        <v>10520.782733854227</v>
      </c>
      <c r="BR41" s="112">
        <f t="shared" si="9"/>
        <v>10520.782733854227</v>
      </c>
      <c r="BT41" s="164">
        <f t="shared" si="36"/>
        <v>1.6146261196408613</v>
      </c>
      <c r="BU41" s="165">
        <f t="shared" si="37"/>
        <v>1.6146261196408613</v>
      </c>
      <c r="BW41" s="111">
        <f>+'Almonds Margin - Baseline'!BN39</f>
        <v>366.95269616232036</v>
      </c>
      <c r="BX41" s="111">
        <f>+'Almonds Margin - Baseline'!BO39</f>
        <v>413.7956670422767</v>
      </c>
      <c r="BY41" s="111">
        <f>+'Almonds Margin - Baseline'!BP39</f>
        <v>365.50005146012097</v>
      </c>
      <c r="BZ41" s="111">
        <f>+'Almonds Margin - Baseline'!BQ39</f>
        <v>137.45904812158676</v>
      </c>
    </row>
    <row r="42" spans="1:78" x14ac:dyDescent="0.2">
      <c r="A42" s="8"/>
      <c r="G42" s="37"/>
      <c r="H42" s="37"/>
    </row>
    <row r="43" spans="1:78" x14ac:dyDescent="0.2">
      <c r="G43" s="16"/>
      <c r="H43" s="16"/>
    </row>
  </sheetData>
  <mergeCells count="57">
    <mergeCell ref="E4:E6"/>
    <mergeCell ref="H4:H6"/>
    <mergeCell ref="G4:G6"/>
    <mergeCell ref="BM4:BM6"/>
    <mergeCell ref="BW6:BZ6"/>
    <mergeCell ref="BD5:BD6"/>
    <mergeCell ref="BF5:BF6"/>
    <mergeCell ref="BG5:BG6"/>
    <mergeCell ref="BQ5:BQ6"/>
    <mergeCell ref="BT5:BT6"/>
    <mergeCell ref="BO4:BO6"/>
    <mergeCell ref="BU3:BU6"/>
    <mergeCell ref="BR3:BR6"/>
    <mergeCell ref="AH5:AH6"/>
    <mergeCell ref="BC5:BC6"/>
    <mergeCell ref="AN5:AN6"/>
    <mergeCell ref="AO5:AO6"/>
    <mergeCell ref="AP5:AP6"/>
    <mergeCell ref="AR5:AR6"/>
    <mergeCell ref="AS5:AS6"/>
    <mergeCell ref="AT5:AT6"/>
    <mergeCell ref="AV5:AV6"/>
    <mergeCell ref="AW5:AW6"/>
    <mergeCell ref="AX5:AX6"/>
    <mergeCell ref="AZ5:AZ6"/>
    <mergeCell ref="BA5:BA6"/>
    <mergeCell ref="M5:M6"/>
    <mergeCell ref="N5:N6"/>
    <mergeCell ref="O5:O6"/>
    <mergeCell ref="Q5:Q6"/>
    <mergeCell ref="R5:R6"/>
    <mergeCell ref="AA5:AA6"/>
    <mergeCell ref="AC5:AC6"/>
    <mergeCell ref="AD5:AD6"/>
    <mergeCell ref="AE5:AE6"/>
    <mergeCell ref="AG5:AG6"/>
    <mergeCell ref="U5:U6"/>
    <mergeCell ref="V5:V6"/>
    <mergeCell ref="W5:W6"/>
    <mergeCell ref="Y5:Y6"/>
    <mergeCell ref="Z5:Z6"/>
    <mergeCell ref="BC4:BD4"/>
    <mergeCell ref="BF4:BG4"/>
    <mergeCell ref="B3:J3"/>
    <mergeCell ref="BW3:BZ3"/>
    <mergeCell ref="Q4:S4"/>
    <mergeCell ref="U4:W4"/>
    <mergeCell ref="Y4:AA4"/>
    <mergeCell ref="AC4:AE4"/>
    <mergeCell ref="AG4:AH4"/>
    <mergeCell ref="AJ4:AL4"/>
    <mergeCell ref="D4:D6"/>
    <mergeCell ref="S5:S6"/>
    <mergeCell ref="AR4:AT4"/>
    <mergeCell ref="AV4:AX4"/>
    <mergeCell ref="AZ4:BA4"/>
    <mergeCell ref="AJ5:AL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BM42"/>
  <sheetViews>
    <sheetView workbookViewId="0"/>
  </sheetViews>
  <sheetFormatPr baseColWidth="10" defaultColWidth="8.83203125" defaultRowHeight="15" x14ac:dyDescent="0.2"/>
  <cols>
    <col min="2" max="2" width="16.1640625" bestFit="1" customWidth="1"/>
    <col min="3" max="3" width="16.6640625" bestFit="1" customWidth="1"/>
    <col min="4" max="4" width="0.83203125" customWidth="1"/>
    <col min="5" max="5" width="11.5" bestFit="1" customWidth="1"/>
    <col min="6" max="6" width="12.1640625" bestFit="1" customWidth="1"/>
    <col min="7" max="7" width="0.83203125" customWidth="1"/>
    <col min="8" max="8" width="10.5" customWidth="1"/>
    <col min="9" max="9" width="11.5" customWidth="1"/>
    <col min="10" max="10" width="5.5" customWidth="1"/>
    <col min="11" max="11" width="9.1640625" customWidth="1"/>
    <col min="12" max="12" width="9.83203125" customWidth="1"/>
    <col min="13" max="13" width="9.1640625" customWidth="1"/>
    <col min="14" max="14" width="0.83203125" customWidth="1"/>
    <col min="15" max="15" width="12.5" customWidth="1"/>
    <col min="16" max="16" width="10.1640625" customWidth="1"/>
    <col min="17" max="17" width="9.1640625" customWidth="1"/>
    <col min="18" max="18" width="0.83203125" customWidth="1"/>
    <col min="19" max="19" width="12.5" customWidth="1"/>
    <col min="20" max="21" width="9.6640625" customWidth="1"/>
    <col min="22" max="22" width="0.83203125" customWidth="1"/>
    <col min="23" max="23" width="12.5" customWidth="1"/>
    <col min="24" max="24" width="9.6640625" customWidth="1"/>
    <col min="25" max="25" width="9.1640625" customWidth="1"/>
    <col min="26" max="26" width="0.83203125" customWidth="1"/>
    <col min="27" max="27" width="13.5" customWidth="1"/>
    <col min="28" max="28" width="10.1640625" customWidth="1"/>
    <col min="29" max="29" width="0.83203125" customWidth="1"/>
    <col min="30" max="30" width="12.6640625" customWidth="1"/>
    <col min="31" max="31" width="9.1640625" customWidth="1"/>
    <col min="32" max="32" width="14.83203125" customWidth="1"/>
    <col min="33" max="33" width="12.6640625" customWidth="1"/>
    <col min="34" max="34" width="9.1640625" customWidth="1"/>
    <col min="35" max="35" width="14.83203125" customWidth="1"/>
    <col min="36" max="36" width="9.1640625" customWidth="1"/>
    <col min="37" max="37" width="0.83203125" customWidth="1"/>
    <col min="38" max="39" width="9.6640625" customWidth="1"/>
    <col min="40" max="40" width="10" customWidth="1"/>
    <col min="41" max="41" width="0.83203125" customWidth="1"/>
    <col min="42" max="42" width="12.6640625" customWidth="1"/>
    <col min="43" max="43" width="9.6640625" customWidth="1"/>
    <col min="44" max="44" width="14.83203125" customWidth="1"/>
    <col min="45" max="45" width="12.6640625" customWidth="1"/>
    <col min="46" max="46" width="9.6640625" customWidth="1"/>
    <col min="47" max="47" width="14.83203125" customWidth="1"/>
    <col min="48" max="48" width="10" customWidth="1"/>
    <col min="49" max="49" width="0.83203125" customWidth="1"/>
    <col min="50" max="52" width="9.6640625" customWidth="1"/>
    <col min="53" max="53" width="0.83203125" customWidth="1"/>
    <col min="54" max="54" width="12.5" customWidth="1"/>
    <col min="55" max="55" width="0.83203125" customWidth="1"/>
    <col min="56" max="56" width="12.5" customWidth="1"/>
    <col min="57" max="57" width="5.6640625" customWidth="1"/>
    <col min="59" max="59" width="5.6640625" customWidth="1"/>
    <col min="60" max="60" width="15.83203125" bestFit="1" customWidth="1"/>
    <col min="62" max="62" width="10.6640625" customWidth="1"/>
    <col min="63" max="63" width="8.5" customWidth="1"/>
    <col min="64" max="64" width="10.6640625" customWidth="1"/>
    <col min="65" max="65" width="9" customWidth="1"/>
  </cols>
  <sheetData>
    <row r="1" spans="1:65" x14ac:dyDescent="0.2">
      <c r="A1" s="2" t="s">
        <v>71</v>
      </c>
      <c r="F1">
        <v>15.4</v>
      </c>
    </row>
    <row r="2" spans="1:65" x14ac:dyDescent="0.2">
      <c r="BB2" s="103" t="s">
        <v>46</v>
      </c>
    </row>
    <row r="3" spans="1:65" x14ac:dyDescent="0.2">
      <c r="B3" s="252" t="s">
        <v>0</v>
      </c>
      <c r="C3" s="252"/>
      <c r="D3" s="252"/>
      <c r="E3" s="252"/>
      <c r="F3" s="252"/>
      <c r="G3" s="252"/>
      <c r="H3" s="252"/>
      <c r="I3" s="50"/>
      <c r="K3" s="265" t="s">
        <v>1</v>
      </c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F3" s="13" t="s">
        <v>2</v>
      </c>
      <c r="BH3" s="17" t="s">
        <v>3</v>
      </c>
      <c r="BJ3" s="251" t="s">
        <v>4</v>
      </c>
      <c r="BK3" s="251"/>
      <c r="BL3" s="251"/>
      <c r="BM3" s="251"/>
    </row>
    <row r="4" spans="1:65" x14ac:dyDescent="0.2">
      <c r="B4" s="253" t="s">
        <v>47</v>
      </c>
      <c r="C4" s="253"/>
      <c r="D4" s="3"/>
      <c r="E4" s="253" t="s">
        <v>48</v>
      </c>
      <c r="F4" s="253"/>
      <c r="G4" s="3"/>
      <c r="H4" s="253" t="s">
        <v>49</v>
      </c>
      <c r="I4" s="253"/>
      <c r="K4" s="242" t="s">
        <v>10</v>
      </c>
      <c r="L4" s="242"/>
      <c r="M4" s="242"/>
      <c r="N4" s="3"/>
      <c r="O4" s="242" t="s">
        <v>11</v>
      </c>
      <c r="P4" s="242"/>
      <c r="Q4" s="242"/>
      <c r="R4" s="3"/>
      <c r="S4" s="242" t="s">
        <v>12</v>
      </c>
      <c r="T4" s="242"/>
      <c r="U4" s="242"/>
      <c r="V4" s="3"/>
      <c r="W4" s="242" t="s">
        <v>13</v>
      </c>
      <c r="X4" s="242"/>
      <c r="Y4" s="242"/>
      <c r="Z4" s="3"/>
      <c r="AA4" s="242" t="s">
        <v>15</v>
      </c>
      <c r="AB4" s="242"/>
      <c r="AC4" s="3"/>
      <c r="AD4" s="242" t="s">
        <v>16</v>
      </c>
      <c r="AE4" s="242"/>
      <c r="AF4" s="242"/>
      <c r="AG4" s="242"/>
      <c r="AH4" s="242"/>
      <c r="AI4" s="242"/>
      <c r="AJ4" s="242"/>
      <c r="AK4" s="12"/>
      <c r="AL4" s="242" t="s">
        <v>17</v>
      </c>
      <c r="AM4" s="242"/>
      <c r="AN4" s="242"/>
      <c r="AO4" s="3"/>
      <c r="AP4" s="242" t="s">
        <v>72</v>
      </c>
      <c r="AQ4" s="242"/>
      <c r="AR4" s="242"/>
      <c r="AS4" s="242"/>
      <c r="AT4" s="242"/>
      <c r="AU4" s="242"/>
      <c r="AV4" s="242"/>
      <c r="AW4" s="3"/>
      <c r="AX4" s="242" t="s">
        <v>19</v>
      </c>
      <c r="AY4" s="242"/>
      <c r="AZ4" s="242"/>
      <c r="BA4" s="3"/>
      <c r="BB4" s="23" t="s">
        <v>23</v>
      </c>
      <c r="BC4" s="12"/>
      <c r="BD4" s="9" t="s">
        <v>25</v>
      </c>
    </row>
    <row r="5" spans="1:65" ht="15" customHeight="1" x14ac:dyDescent="0.2">
      <c r="B5" t="s">
        <v>50</v>
      </c>
      <c r="C5" t="s">
        <v>73</v>
      </c>
      <c r="D5" s="1"/>
      <c r="E5" t="s">
        <v>74</v>
      </c>
      <c r="F5" s="11" t="s">
        <v>75</v>
      </c>
      <c r="G5" s="1"/>
      <c r="H5" t="s">
        <v>74</v>
      </c>
      <c r="I5" s="11" t="s">
        <v>75</v>
      </c>
      <c r="K5" s="243" t="s">
        <v>26</v>
      </c>
      <c r="L5" s="243" t="s">
        <v>27</v>
      </c>
      <c r="M5" s="243" t="s">
        <v>28</v>
      </c>
      <c r="N5" s="10"/>
      <c r="O5" s="243" t="s">
        <v>29</v>
      </c>
      <c r="P5" s="243" t="s">
        <v>30</v>
      </c>
      <c r="Q5" s="243" t="s">
        <v>28</v>
      </c>
      <c r="R5" s="10"/>
      <c r="S5" s="243" t="s">
        <v>29</v>
      </c>
      <c r="T5" s="243" t="s">
        <v>30</v>
      </c>
      <c r="U5" s="243" t="s">
        <v>28</v>
      </c>
      <c r="V5" s="10"/>
      <c r="W5" s="243" t="s">
        <v>29</v>
      </c>
      <c r="X5" s="243" t="s">
        <v>30</v>
      </c>
      <c r="Y5" s="243" t="s">
        <v>28</v>
      </c>
      <c r="Z5" s="10"/>
      <c r="AA5" s="244" t="s">
        <v>76</v>
      </c>
      <c r="AB5" s="243" t="s">
        <v>28</v>
      </c>
      <c r="AC5" s="10"/>
      <c r="AD5" s="254" t="s">
        <v>77</v>
      </c>
      <c r="AE5" s="255"/>
      <c r="AF5" s="256"/>
      <c r="AG5" s="254" t="s">
        <v>53</v>
      </c>
      <c r="AH5" s="255"/>
      <c r="AI5" s="256"/>
      <c r="AJ5" s="241" t="s">
        <v>28</v>
      </c>
      <c r="AK5" s="11"/>
      <c r="AL5" s="241" t="s">
        <v>32</v>
      </c>
      <c r="AM5" s="247" t="s">
        <v>33</v>
      </c>
      <c r="AN5" s="243" t="s">
        <v>28</v>
      </c>
      <c r="AO5" s="10"/>
      <c r="AP5" s="254" t="s">
        <v>17</v>
      </c>
      <c r="AQ5" s="255"/>
      <c r="AR5" s="256"/>
      <c r="AS5" s="254" t="s">
        <v>53</v>
      </c>
      <c r="AT5" s="255"/>
      <c r="AU5" s="256"/>
      <c r="AV5" s="241" t="s">
        <v>28</v>
      </c>
      <c r="AW5" s="10"/>
      <c r="AX5" s="241" t="s">
        <v>35</v>
      </c>
      <c r="AY5" s="247" t="s">
        <v>33</v>
      </c>
      <c r="AZ5" s="243" t="s">
        <v>28</v>
      </c>
      <c r="BA5" s="10"/>
      <c r="BB5" s="11"/>
      <c r="BC5" s="11"/>
      <c r="BD5" s="241" t="s">
        <v>37</v>
      </c>
      <c r="BF5" s="241" t="s">
        <v>37</v>
      </c>
      <c r="BH5" s="241" t="s">
        <v>38</v>
      </c>
      <c r="BJ5" s="10" t="s">
        <v>39</v>
      </c>
      <c r="BK5" s="10" t="s">
        <v>40</v>
      </c>
      <c r="BL5" s="10" t="s">
        <v>41</v>
      </c>
      <c r="BM5" t="s">
        <v>10</v>
      </c>
    </row>
    <row r="6" spans="1:65" ht="16" x14ac:dyDescent="0.2">
      <c r="B6" s="1" t="s">
        <v>78</v>
      </c>
      <c r="C6" s="1" t="s">
        <v>78</v>
      </c>
      <c r="D6" s="1"/>
      <c r="E6" s="247" t="s">
        <v>38</v>
      </c>
      <c r="F6" s="247"/>
      <c r="G6" s="1"/>
      <c r="H6" s="241" t="s">
        <v>37</v>
      </c>
      <c r="I6" s="241"/>
      <c r="K6" s="243"/>
      <c r="L6" s="243"/>
      <c r="M6" s="243"/>
      <c r="N6" s="10"/>
      <c r="O6" s="243"/>
      <c r="P6" s="243"/>
      <c r="Q6" s="243"/>
      <c r="R6" s="10"/>
      <c r="S6" s="243"/>
      <c r="T6" s="243"/>
      <c r="U6" s="243"/>
      <c r="V6" s="10"/>
      <c r="W6" s="243"/>
      <c r="X6" s="243"/>
      <c r="Y6" s="243"/>
      <c r="Z6" s="10"/>
      <c r="AA6" s="244"/>
      <c r="AB6" s="243"/>
      <c r="AC6" s="10"/>
      <c r="AD6" s="18" t="s">
        <v>79</v>
      </c>
      <c r="AE6" s="18" t="s">
        <v>33</v>
      </c>
      <c r="AF6" s="19" t="s">
        <v>28</v>
      </c>
      <c r="AG6" s="18" t="s">
        <v>35</v>
      </c>
      <c r="AH6" s="18" t="s">
        <v>33</v>
      </c>
      <c r="AI6" s="19" t="s">
        <v>28</v>
      </c>
      <c r="AJ6" s="241"/>
      <c r="AK6" s="11"/>
      <c r="AL6" s="241"/>
      <c r="AM6" s="247"/>
      <c r="AN6" s="243"/>
      <c r="AO6" s="10"/>
      <c r="AP6" s="11" t="s">
        <v>35</v>
      </c>
      <c r="AQ6" s="11" t="s">
        <v>33</v>
      </c>
      <c r="AR6" s="10" t="s">
        <v>28</v>
      </c>
      <c r="AS6" s="11" t="s">
        <v>35</v>
      </c>
      <c r="AT6" s="11" t="s">
        <v>33</v>
      </c>
      <c r="AU6" s="10" t="s">
        <v>28</v>
      </c>
      <c r="AV6" s="241"/>
      <c r="AW6" s="10"/>
      <c r="AX6" s="241"/>
      <c r="AY6" s="247"/>
      <c r="AZ6" s="243"/>
      <c r="BA6" s="10"/>
      <c r="BB6" s="11" t="s">
        <v>80</v>
      </c>
      <c r="BC6" s="11"/>
      <c r="BD6" s="241"/>
      <c r="BF6" s="241"/>
      <c r="BH6" s="241"/>
      <c r="BJ6" s="249" t="s">
        <v>43</v>
      </c>
      <c r="BK6" s="249"/>
      <c r="BL6" s="249"/>
      <c r="BM6" s="249"/>
    </row>
    <row r="7" spans="1:65" x14ac:dyDescent="0.2">
      <c r="A7">
        <v>2021</v>
      </c>
      <c r="B7" s="52">
        <f>769116052.577916/215623.59808</f>
        <v>3566.9382174605998</v>
      </c>
      <c r="C7" s="52">
        <v>3000</v>
      </c>
      <c r="E7" s="16">
        <v>14.9</v>
      </c>
      <c r="F7" s="16">
        <v>15.4</v>
      </c>
      <c r="H7" s="20">
        <f t="shared" ref="H7:H41" si="0">+B7*E7</f>
        <v>53147.379440162942</v>
      </c>
      <c r="I7" s="20">
        <f t="shared" ref="I7:I41" si="1">+C7*F7</f>
        <v>46200</v>
      </c>
      <c r="J7" s="53"/>
      <c r="K7" s="4">
        <v>176</v>
      </c>
      <c r="L7" s="5">
        <v>2.4772727272727271</v>
      </c>
      <c r="M7" s="6">
        <f>+K7*L7</f>
        <v>435.99999999999994</v>
      </c>
      <c r="O7" s="16">
        <v>4</v>
      </c>
      <c r="P7" s="4">
        <v>50</v>
      </c>
      <c r="Q7" s="6">
        <f>+O7*P7</f>
        <v>200</v>
      </c>
      <c r="S7" s="16">
        <v>2</v>
      </c>
      <c r="T7" s="4">
        <v>50</v>
      </c>
      <c r="U7" s="6">
        <f>+S7*T7</f>
        <v>100</v>
      </c>
      <c r="W7" s="5">
        <v>8</v>
      </c>
      <c r="X7" s="4">
        <v>150</v>
      </c>
      <c r="Y7" s="21">
        <f>+W7*X7</f>
        <v>1200</v>
      </c>
      <c r="AA7" s="4">
        <v>70</v>
      </c>
      <c r="AB7" s="6">
        <f t="shared" ref="AB7:AB41" si="2">+AA7*F7</f>
        <v>1078</v>
      </c>
      <c r="AD7" s="4">
        <f>+F7</f>
        <v>15.4</v>
      </c>
      <c r="AE7" s="4">
        <v>300</v>
      </c>
      <c r="AF7" s="21">
        <f>+AD7*AE7</f>
        <v>4620</v>
      </c>
      <c r="AG7" s="4">
        <v>32</v>
      </c>
      <c r="AH7" s="4">
        <v>75</v>
      </c>
      <c r="AI7" s="21">
        <f>+AG7*AH7</f>
        <v>2400</v>
      </c>
      <c r="AJ7" s="21">
        <f t="shared" ref="AJ7:AJ27" si="3">+AF7+AI7</f>
        <v>7020</v>
      </c>
      <c r="AL7" s="1">
        <v>0.5</v>
      </c>
      <c r="AM7" s="1">
        <v>99</v>
      </c>
      <c r="AN7" s="6">
        <f>+AL7*AM7</f>
        <v>49.5</v>
      </c>
      <c r="AP7" s="1">
        <v>36</v>
      </c>
      <c r="AQ7" s="1">
        <v>22.5</v>
      </c>
      <c r="AR7" s="21">
        <f>+AP7*AQ7</f>
        <v>810</v>
      </c>
      <c r="AS7" s="1">
        <v>60</v>
      </c>
      <c r="AT7" s="1">
        <v>22.5</v>
      </c>
      <c r="AU7" s="21">
        <f>+AS7*AT7</f>
        <v>1350</v>
      </c>
      <c r="AV7" s="21">
        <f>+AR7+AU7</f>
        <v>2160</v>
      </c>
      <c r="AX7" s="1">
        <v>231</v>
      </c>
      <c r="AY7" s="1">
        <v>22.5</v>
      </c>
      <c r="AZ7" s="21">
        <f>+AX7*AY7</f>
        <v>5197.5</v>
      </c>
      <c r="BB7" s="6">
        <f>10*F7</f>
        <v>154</v>
      </c>
      <c r="BD7" s="21">
        <f t="shared" ref="BD7:BD41" si="4">+M7+Q7+U7+Y7+AB7+AJ7+AN7+AV7+AZ7+BB7</f>
        <v>17595</v>
      </c>
      <c r="BF7" s="21">
        <f t="shared" ref="BF7:BF41" si="5">+I7-BD7</f>
        <v>28605</v>
      </c>
      <c r="BH7" s="51">
        <f>+(M7+Q7+U7+Y7+AF7+AI7+AN7+AR7+AU7+AZ7)/(C7-AA7-11)</f>
        <v>5.6056868790681742</v>
      </c>
      <c r="BJ7" s="4">
        <v>128.4</v>
      </c>
      <c r="BK7" s="4">
        <v>141.80000000000001</v>
      </c>
      <c r="BL7" s="4">
        <f>+(143.56+106.94)/2</f>
        <v>125.25</v>
      </c>
      <c r="BM7" s="4">
        <v>99.691915734713831</v>
      </c>
    </row>
    <row r="8" spans="1:65" x14ac:dyDescent="0.2">
      <c r="A8" s="8">
        <f t="shared" ref="A8:A41" si="6">+A7+1</f>
        <v>2022</v>
      </c>
      <c r="B8" s="22">
        <f>+B7*1.02</f>
        <v>3638.2769818098118</v>
      </c>
      <c r="C8" s="22">
        <f>+C7*BJ8/BJ7</f>
        <v>3043.9252336448599</v>
      </c>
      <c r="E8" s="15">
        <f>E7*((E$21/E$7)^(1/($A$21-$A$7)))</f>
        <v>14.742788817361202</v>
      </c>
      <c r="F8" s="15">
        <f>$F$7</f>
        <v>15.4</v>
      </c>
      <c r="H8" s="22">
        <f t="shared" si="0"/>
        <v>53638.349201888355</v>
      </c>
      <c r="I8" s="22">
        <f t="shared" si="1"/>
        <v>46876.448598130846</v>
      </c>
      <c r="K8" s="54">
        <f>+K7</f>
        <v>176</v>
      </c>
      <c r="L8" s="14">
        <f>+L7*$BM8/$BM7</f>
        <v>2.4637603305785118</v>
      </c>
      <c r="M8" s="7">
        <f>+K8*L8</f>
        <v>433.62181818181807</v>
      </c>
      <c r="O8" s="15">
        <f>+O7</f>
        <v>4</v>
      </c>
      <c r="P8" s="7">
        <f t="shared" ref="P8:P41" si="7">+P7*$BM8/$BM7</f>
        <v>49.72727272727272</v>
      </c>
      <c r="Q8" s="7">
        <f t="shared" ref="Q8:Q41" si="8">+O8*P8</f>
        <v>198.90909090909088</v>
      </c>
      <c r="S8" s="15">
        <f>+S7</f>
        <v>2</v>
      </c>
      <c r="T8" s="7">
        <f t="shared" ref="T8:T41" si="9">+T7*$BM8/$BM7</f>
        <v>49.72727272727272</v>
      </c>
      <c r="U8" s="7">
        <f t="shared" ref="U8:U41" si="10">+S8*T8</f>
        <v>99.454545454545439</v>
      </c>
      <c r="W8" s="14">
        <f>+W7</f>
        <v>8</v>
      </c>
      <c r="X8" s="7">
        <f t="shared" ref="X8:X41" si="11">+X7*$BM8/$BM7</f>
        <v>149.18181818181816</v>
      </c>
      <c r="Y8" s="22">
        <f t="shared" ref="Y8:Y41" si="12">+W8*X8</f>
        <v>1193.4545454545453</v>
      </c>
      <c r="AA8" s="7">
        <f t="shared" ref="AA8:AA41" si="13">+AA7*(0.5*$BK8/$BK7+0.5*$BL8/$BL7)</f>
        <v>72.240000000000009</v>
      </c>
      <c r="AB8" s="7">
        <f t="shared" si="2"/>
        <v>1112.4960000000001</v>
      </c>
      <c r="AD8" s="7">
        <f t="shared" ref="AD8:AD41" si="14">+F8</f>
        <v>15.4</v>
      </c>
      <c r="AE8" s="7">
        <f t="shared" ref="AE8:AE41" si="15">+AE7*(0.5*$BK8/$BK7+0.5*$BL8/$BL7)</f>
        <v>309.60000000000002</v>
      </c>
      <c r="AF8" s="22">
        <f t="shared" ref="AF8:AF41" si="16">+AD8*AE8</f>
        <v>4767.84</v>
      </c>
      <c r="AG8" s="7">
        <f>+AG7</f>
        <v>32</v>
      </c>
      <c r="AH8" s="7">
        <f t="shared" ref="AH8:AH41" si="17">+AH7*(0.5*$BK8/$BK7+0.5*$BL8/$BL7)</f>
        <v>77.400000000000006</v>
      </c>
      <c r="AI8" s="22">
        <f t="shared" ref="AI8:AI41" si="18">+AG8*AH8</f>
        <v>2476.8000000000002</v>
      </c>
      <c r="AJ8" s="22">
        <f t="shared" si="3"/>
        <v>7244.64</v>
      </c>
      <c r="AL8" s="15">
        <f>+AL7</f>
        <v>0.5</v>
      </c>
      <c r="AM8" s="7">
        <f t="shared" ref="AM8:AM41" si="19">+AM7*BJ8/BJ7</f>
        <v>100.44953271028037</v>
      </c>
      <c r="AN8" s="7">
        <f t="shared" ref="AN8:AN41" si="20">+AL8*AM8</f>
        <v>50.224766355140183</v>
      </c>
      <c r="AP8" s="7">
        <f>+AP7</f>
        <v>36</v>
      </c>
      <c r="AQ8" s="7">
        <f t="shared" ref="AQ8:AQ41" si="21">+AQ7*$BK8/$BK7</f>
        <v>23.22</v>
      </c>
      <c r="AR8" s="22">
        <f t="shared" ref="AR8:AR41" si="22">+AP8*AQ8</f>
        <v>835.92</v>
      </c>
      <c r="AS8" s="7">
        <f>+AS7</f>
        <v>60</v>
      </c>
      <c r="AT8" s="7">
        <f t="shared" ref="AT8:AT41" si="23">+AT7*$BK8/$BK7</f>
        <v>23.22</v>
      </c>
      <c r="AU8" s="22">
        <f t="shared" ref="AU8:AU41" si="24">+AS8*AT8</f>
        <v>1393.1999999999998</v>
      </c>
      <c r="AV8" s="22">
        <f t="shared" ref="AV8:AV41" si="25">+AR8+AU8</f>
        <v>2229.12</v>
      </c>
      <c r="AX8" s="7">
        <f>+AX7</f>
        <v>231</v>
      </c>
      <c r="AY8" s="7">
        <f t="shared" ref="AY8:AY41" si="26">+AY7*$BK8/$BK7</f>
        <v>23.22</v>
      </c>
      <c r="AZ8" s="22">
        <f>+AX8*AY8</f>
        <v>5363.82</v>
      </c>
      <c r="BB8" s="7">
        <f t="shared" ref="BB8:BB41" si="27">10*F8</f>
        <v>154</v>
      </c>
      <c r="BD8" s="22">
        <f t="shared" si="4"/>
        <v>18079.740766355142</v>
      </c>
      <c r="BF8" s="22">
        <f t="shared" si="5"/>
        <v>28796.707831775704</v>
      </c>
      <c r="BH8" s="15">
        <f>+(M8+Q8+U8+Y8+AF8+AI8+AN8+AR8+AU8+AZ8)/(C8-AA8-11)</f>
        <v>5.678835620650081</v>
      </c>
      <c r="BJ8" s="7">
        <v>130.28</v>
      </c>
      <c r="BK8" s="7">
        <f>+BK7+(BK7*0.032)</f>
        <v>146.33760000000001</v>
      </c>
      <c r="BL8" s="7">
        <f>+BL7+(BL7*0.032)</f>
        <v>129.25800000000001</v>
      </c>
      <c r="BM8" s="7">
        <v>99.1481416488881</v>
      </c>
    </row>
    <row r="9" spans="1:65" x14ac:dyDescent="0.2">
      <c r="A9" s="8">
        <f t="shared" si="6"/>
        <v>2023</v>
      </c>
      <c r="B9" s="22">
        <f>+B8*0.99</f>
        <v>3601.8942119917137</v>
      </c>
      <c r="C9" s="22">
        <f t="shared" ref="C9:C41" si="28">+C8*BJ9/BJ8</f>
        <v>3150.467289719626</v>
      </c>
      <c r="E9" s="15">
        <f t="shared" ref="E9:E20" si="29">E8*((E$21/E$7)^(1/($A$21-$A$7)))</f>
        <v>14.587236383443658</v>
      </c>
      <c r="F9" s="15">
        <f t="shared" ref="F9:F41" si="30">$F$7</f>
        <v>15.4</v>
      </c>
      <c r="H9" s="22">
        <f t="shared" si="0"/>
        <v>52541.682298480649</v>
      </c>
      <c r="I9" s="22">
        <f t="shared" si="1"/>
        <v>48517.196261682242</v>
      </c>
      <c r="K9" s="54">
        <f t="shared" ref="K9:K41" si="31">+K8</f>
        <v>176</v>
      </c>
      <c r="L9" s="14">
        <f t="shared" ref="L9:L41" si="32">+L8*$BM9/$BM8</f>
        <v>2.4911175720171039</v>
      </c>
      <c r="M9" s="7">
        <f t="shared" ref="M9:M41" si="33">+K9*L9</f>
        <v>438.43669267501031</v>
      </c>
      <c r="O9" s="15">
        <f t="shared" ref="O9:O41" si="34">+O8</f>
        <v>4</v>
      </c>
      <c r="P9" s="7">
        <f t="shared" si="7"/>
        <v>50.279437233372747</v>
      </c>
      <c r="Q9" s="7">
        <f t="shared" si="8"/>
        <v>201.11774893349099</v>
      </c>
      <c r="S9" s="15">
        <f t="shared" ref="S9:S41" si="35">+S8</f>
        <v>2</v>
      </c>
      <c r="T9" s="7">
        <f t="shared" si="9"/>
        <v>50.279437233372747</v>
      </c>
      <c r="U9" s="7">
        <f t="shared" si="10"/>
        <v>100.55887446674549</v>
      </c>
      <c r="W9" s="14">
        <f t="shared" ref="W9:W41" si="36">+W8</f>
        <v>8</v>
      </c>
      <c r="X9" s="7">
        <f t="shared" si="11"/>
        <v>150.83831170011823</v>
      </c>
      <c r="Y9" s="22">
        <f t="shared" si="12"/>
        <v>1206.7064936009458</v>
      </c>
      <c r="AA9" s="7">
        <f t="shared" si="13"/>
        <v>74.551680000000005</v>
      </c>
      <c r="AB9" s="7">
        <f t="shared" si="2"/>
        <v>1148.0958720000001</v>
      </c>
      <c r="AD9" s="7">
        <f t="shared" si="14"/>
        <v>15.4</v>
      </c>
      <c r="AE9" s="7">
        <f t="shared" si="15"/>
        <v>319.50720000000001</v>
      </c>
      <c r="AF9" s="22">
        <f t="shared" si="16"/>
        <v>4920.4108800000004</v>
      </c>
      <c r="AG9" s="7">
        <f t="shared" ref="AG9:AG41" si="37">+AG8</f>
        <v>32</v>
      </c>
      <c r="AH9" s="7">
        <f t="shared" si="17"/>
        <v>79.876800000000003</v>
      </c>
      <c r="AI9" s="22">
        <f t="shared" si="18"/>
        <v>2556.0576000000001</v>
      </c>
      <c r="AJ9" s="22">
        <f t="shared" si="3"/>
        <v>7476.4684800000005</v>
      </c>
      <c r="AL9" s="15">
        <f t="shared" ref="AL9:AL41" si="38">+AL8</f>
        <v>0.5</v>
      </c>
      <c r="AM9" s="7">
        <f t="shared" si="19"/>
        <v>103.96542056074766</v>
      </c>
      <c r="AN9" s="7">
        <f t="shared" si="20"/>
        <v>51.98271028037383</v>
      </c>
      <c r="AP9" s="7">
        <f t="shared" ref="AP9:AP41" si="39">+AP8</f>
        <v>36</v>
      </c>
      <c r="AQ9" s="7">
        <f t="shared" si="21"/>
        <v>23.963039999999996</v>
      </c>
      <c r="AR9" s="22">
        <f t="shared" si="22"/>
        <v>862.6694399999999</v>
      </c>
      <c r="AS9" s="7">
        <f t="shared" ref="AS9:AS41" si="40">+AS8</f>
        <v>60</v>
      </c>
      <c r="AT9" s="7">
        <f t="shared" si="23"/>
        <v>23.963039999999996</v>
      </c>
      <c r="AU9" s="22">
        <f t="shared" si="24"/>
        <v>1437.7823999999998</v>
      </c>
      <c r="AV9" s="22">
        <f t="shared" si="25"/>
        <v>2300.4518399999997</v>
      </c>
      <c r="AX9" s="7">
        <f t="shared" ref="AX9:AX41" si="41">+AX8</f>
        <v>231</v>
      </c>
      <c r="AY9" s="7">
        <f t="shared" si="26"/>
        <v>23.963039999999996</v>
      </c>
      <c r="AZ9" s="22">
        <f t="shared" ref="AZ9:AZ41" si="42">+AX9*AY9</f>
        <v>5535.4622399999989</v>
      </c>
      <c r="BB9" s="7">
        <f t="shared" si="27"/>
        <v>154</v>
      </c>
      <c r="BD9" s="22">
        <f t="shared" si="4"/>
        <v>18613.280951956564</v>
      </c>
      <c r="BF9" s="22">
        <f t="shared" si="5"/>
        <v>29903.915309725679</v>
      </c>
      <c r="BH9" s="15">
        <f t="shared" ref="BH9:BH41" si="43">+(M9+Q9+U9+Y9+AF9+AI9+AN9+AR9+AU9+AZ9)/(C9-AA9-11)</f>
        <v>5.6481767475288391</v>
      </c>
      <c r="BJ9" s="7">
        <v>134.84</v>
      </c>
      <c r="BK9" s="7">
        <f t="shared" ref="BK9:BL24" si="44">+BK8+(BK8*0.032)</f>
        <v>151.0204032</v>
      </c>
      <c r="BL9" s="7">
        <f t="shared" si="44"/>
        <v>133.39425600000001</v>
      </c>
      <c r="BM9" s="7">
        <v>100.24906839716456</v>
      </c>
    </row>
    <row r="10" spans="1:65" x14ac:dyDescent="0.2">
      <c r="A10" s="8">
        <f t="shared" si="6"/>
        <v>2024</v>
      </c>
      <c r="B10" s="22">
        <f>+B9*0.99</f>
        <v>3565.8752698717967</v>
      </c>
      <c r="C10" s="22">
        <f t="shared" si="28"/>
        <v>3229.2056074766356</v>
      </c>
      <c r="E10" s="15">
        <f t="shared" si="29"/>
        <v>14.43332519664682</v>
      </c>
      <c r="F10" s="15">
        <f t="shared" si="30"/>
        <v>15.4</v>
      </c>
      <c r="H10" s="22">
        <f t="shared" si="0"/>
        <v>51467.437380740383</v>
      </c>
      <c r="I10" s="22">
        <f t="shared" si="1"/>
        <v>49729.766355140186</v>
      </c>
      <c r="K10" s="54">
        <f t="shared" si="31"/>
        <v>176</v>
      </c>
      <c r="L10" s="14">
        <f t="shared" si="32"/>
        <v>2.5657410046331632</v>
      </c>
      <c r="M10" s="7">
        <f t="shared" si="33"/>
        <v>451.57041681543672</v>
      </c>
      <c r="O10" s="15">
        <f t="shared" si="34"/>
        <v>4</v>
      </c>
      <c r="P10" s="7">
        <f t="shared" si="7"/>
        <v>51.785598258651014</v>
      </c>
      <c r="Q10" s="7">
        <f t="shared" si="8"/>
        <v>207.14239303460405</v>
      </c>
      <c r="S10" s="15">
        <f t="shared" si="35"/>
        <v>2</v>
      </c>
      <c r="T10" s="7">
        <f t="shared" si="9"/>
        <v>51.785598258651014</v>
      </c>
      <c r="U10" s="7">
        <f t="shared" si="10"/>
        <v>103.57119651730203</v>
      </c>
      <c r="W10" s="14">
        <f t="shared" si="36"/>
        <v>8</v>
      </c>
      <c r="X10" s="7">
        <f t="shared" si="11"/>
        <v>155.35679477595303</v>
      </c>
      <c r="Y10" s="22">
        <f t="shared" si="12"/>
        <v>1242.8543582076243</v>
      </c>
      <c r="AA10" s="7">
        <f t="shared" si="13"/>
        <v>76.937333760000001</v>
      </c>
      <c r="AB10" s="7">
        <f t="shared" si="2"/>
        <v>1184.8349399040001</v>
      </c>
      <c r="AD10" s="7">
        <f t="shared" si="14"/>
        <v>15.4</v>
      </c>
      <c r="AE10" s="7">
        <f t="shared" si="15"/>
        <v>329.73143040000002</v>
      </c>
      <c r="AF10" s="22">
        <f t="shared" si="16"/>
        <v>5077.8640281600001</v>
      </c>
      <c r="AG10" s="7">
        <f t="shared" si="37"/>
        <v>32</v>
      </c>
      <c r="AH10" s="7">
        <f t="shared" si="17"/>
        <v>82.432857600000006</v>
      </c>
      <c r="AI10" s="22">
        <f t="shared" si="18"/>
        <v>2637.8514432000002</v>
      </c>
      <c r="AJ10" s="22">
        <f t="shared" si="3"/>
        <v>7715.7154713600003</v>
      </c>
      <c r="AL10" s="15">
        <f t="shared" si="38"/>
        <v>0.5</v>
      </c>
      <c r="AM10" s="7">
        <f t="shared" si="19"/>
        <v>106.56378504672897</v>
      </c>
      <c r="AN10" s="7">
        <f t="shared" si="20"/>
        <v>53.281892523364483</v>
      </c>
      <c r="AP10" s="7">
        <f t="shared" si="39"/>
        <v>36</v>
      </c>
      <c r="AQ10" s="7">
        <f t="shared" si="21"/>
        <v>24.729857279999997</v>
      </c>
      <c r="AR10" s="22">
        <f t="shared" si="22"/>
        <v>890.27486207999993</v>
      </c>
      <c r="AS10" s="7">
        <f t="shared" si="40"/>
        <v>60</v>
      </c>
      <c r="AT10" s="7">
        <f t="shared" si="23"/>
        <v>24.729857279999997</v>
      </c>
      <c r="AU10" s="22">
        <f t="shared" si="24"/>
        <v>1483.7914367999999</v>
      </c>
      <c r="AV10" s="22">
        <f t="shared" si="25"/>
        <v>2374.06629888</v>
      </c>
      <c r="AX10" s="7">
        <f t="shared" si="41"/>
        <v>231</v>
      </c>
      <c r="AY10" s="7">
        <f t="shared" si="26"/>
        <v>24.729857279999997</v>
      </c>
      <c r="AZ10" s="22">
        <f t="shared" si="42"/>
        <v>5712.5970316799994</v>
      </c>
      <c r="BB10" s="7">
        <f t="shared" si="27"/>
        <v>154</v>
      </c>
      <c r="BD10" s="22">
        <f t="shared" si="4"/>
        <v>19199.633998922331</v>
      </c>
      <c r="BF10" s="22">
        <f t="shared" si="5"/>
        <v>30530.132356217855</v>
      </c>
      <c r="BH10" s="15">
        <f t="shared" si="43"/>
        <v>5.6858559991395046</v>
      </c>
      <c r="BJ10" s="7">
        <v>138.21</v>
      </c>
      <c r="BK10" s="7">
        <f t="shared" si="44"/>
        <v>155.85305610240002</v>
      </c>
      <c r="BL10" s="7">
        <f t="shared" si="44"/>
        <v>137.66287219200001</v>
      </c>
      <c r="BM10" s="7">
        <v>103.25210995746359</v>
      </c>
    </row>
    <row r="11" spans="1:65" x14ac:dyDescent="0.2">
      <c r="A11" s="8">
        <f t="shared" si="6"/>
        <v>2025</v>
      </c>
      <c r="B11" s="22">
        <f t="shared" ref="B11:B12" si="45">+B10*0.99</f>
        <v>3530.2165171730785</v>
      </c>
      <c r="C11" s="22">
        <f t="shared" si="28"/>
        <v>3332.5401869158877</v>
      </c>
      <c r="E11" s="15">
        <f t="shared" si="29"/>
        <v>14.281037940031034</v>
      </c>
      <c r="F11" s="15">
        <f t="shared" si="30"/>
        <v>15.4</v>
      </c>
      <c r="H11" s="22">
        <f t="shared" si="0"/>
        <v>50415.156018272952</v>
      </c>
      <c r="I11" s="22">
        <f t="shared" si="1"/>
        <v>51321.118878504669</v>
      </c>
      <c r="K11" s="54">
        <f t="shared" si="31"/>
        <v>176</v>
      </c>
      <c r="L11" s="14">
        <f t="shared" si="32"/>
        <v>2.6302704539371025</v>
      </c>
      <c r="M11" s="7">
        <f t="shared" si="33"/>
        <v>462.92759989293006</v>
      </c>
      <c r="O11" s="15">
        <f t="shared" si="34"/>
        <v>4</v>
      </c>
      <c r="P11" s="7">
        <f t="shared" si="7"/>
        <v>53.08802751065712</v>
      </c>
      <c r="Q11" s="7">
        <f t="shared" si="8"/>
        <v>212.35211004262848</v>
      </c>
      <c r="S11" s="15">
        <f t="shared" si="35"/>
        <v>2</v>
      </c>
      <c r="T11" s="7">
        <f t="shared" si="9"/>
        <v>53.08802751065712</v>
      </c>
      <c r="U11" s="7">
        <f t="shared" si="10"/>
        <v>106.17605502131424</v>
      </c>
      <c r="W11" s="14">
        <f t="shared" si="36"/>
        <v>8</v>
      </c>
      <c r="X11" s="7">
        <f t="shared" si="11"/>
        <v>159.26408253197138</v>
      </c>
      <c r="Y11" s="22">
        <f t="shared" si="12"/>
        <v>1274.1126602557711</v>
      </c>
      <c r="AA11" s="7">
        <f t="shared" si="13"/>
        <v>79.399328440320005</v>
      </c>
      <c r="AB11" s="7">
        <f t="shared" si="2"/>
        <v>1222.7496579809281</v>
      </c>
      <c r="AD11" s="7">
        <f t="shared" si="14"/>
        <v>15.4</v>
      </c>
      <c r="AE11" s="7">
        <f t="shared" si="15"/>
        <v>340.28283617280005</v>
      </c>
      <c r="AF11" s="22">
        <f t="shared" si="16"/>
        <v>5240.3556770611212</v>
      </c>
      <c r="AG11" s="7">
        <f t="shared" si="37"/>
        <v>32</v>
      </c>
      <c r="AH11" s="7">
        <f t="shared" si="17"/>
        <v>85.070709043200011</v>
      </c>
      <c r="AI11" s="22">
        <f t="shared" si="18"/>
        <v>2722.2626893824004</v>
      </c>
      <c r="AJ11" s="22">
        <f t="shared" si="3"/>
        <v>7962.6183664435212</v>
      </c>
      <c r="AL11" s="15">
        <f t="shared" si="38"/>
        <v>0.5</v>
      </c>
      <c r="AM11" s="7">
        <f t="shared" si="19"/>
        <v>109.97382616822429</v>
      </c>
      <c r="AN11" s="7">
        <f t="shared" si="20"/>
        <v>54.986913084112146</v>
      </c>
      <c r="AP11" s="7">
        <f t="shared" si="39"/>
        <v>36</v>
      </c>
      <c r="AQ11" s="7">
        <f t="shared" si="21"/>
        <v>25.521212712959993</v>
      </c>
      <c r="AR11" s="22">
        <f t="shared" si="22"/>
        <v>918.76365766655977</v>
      </c>
      <c r="AS11" s="7">
        <f t="shared" si="40"/>
        <v>60</v>
      </c>
      <c r="AT11" s="7">
        <f t="shared" si="23"/>
        <v>25.521212712959993</v>
      </c>
      <c r="AU11" s="22">
        <f t="shared" si="24"/>
        <v>1531.2727627775996</v>
      </c>
      <c r="AV11" s="22">
        <f t="shared" si="25"/>
        <v>2450.0364204441594</v>
      </c>
      <c r="AX11" s="7">
        <f t="shared" si="41"/>
        <v>231</v>
      </c>
      <c r="AY11" s="7">
        <f t="shared" si="26"/>
        <v>25.521212712959993</v>
      </c>
      <c r="AZ11" s="22">
        <f t="shared" si="42"/>
        <v>5895.4001366937582</v>
      </c>
      <c r="BB11" s="7">
        <f t="shared" si="27"/>
        <v>154</v>
      </c>
      <c r="BD11" s="22">
        <f t="shared" si="4"/>
        <v>19795.359919859122</v>
      </c>
      <c r="BF11" s="22">
        <f t="shared" si="5"/>
        <v>31525.758958645547</v>
      </c>
      <c r="BH11" s="15">
        <f t="shared" si="43"/>
        <v>5.6810024813476172</v>
      </c>
      <c r="BJ11" s="7">
        <f t="shared" ref="BJ11:BL26" si="46">+BJ10+(BJ10*0.032)</f>
        <v>142.63272000000001</v>
      </c>
      <c r="BK11" s="7">
        <f t="shared" si="44"/>
        <v>160.84035389767681</v>
      </c>
      <c r="BL11" s="7">
        <f t="shared" si="44"/>
        <v>142.06808410214401</v>
      </c>
      <c r="BM11" s="7">
        <v>105.84894330229197</v>
      </c>
    </row>
    <row r="12" spans="1:65" x14ac:dyDescent="0.2">
      <c r="A12" s="8">
        <f t="shared" si="6"/>
        <v>2026</v>
      </c>
      <c r="B12" s="22">
        <f t="shared" si="45"/>
        <v>3494.9143520013477</v>
      </c>
      <c r="C12" s="22">
        <f t="shared" si="28"/>
        <v>3439.1814728971958</v>
      </c>
      <c r="E12" s="15">
        <f t="shared" si="29"/>
        <v>14.130357479369167</v>
      </c>
      <c r="F12" s="15">
        <f t="shared" si="30"/>
        <v>15.4</v>
      </c>
      <c r="H12" s="22">
        <f t="shared" si="0"/>
        <v>49384.389153556884</v>
      </c>
      <c r="I12" s="22">
        <f t="shared" si="1"/>
        <v>52963.394682616818</v>
      </c>
      <c r="K12" s="54">
        <f t="shared" si="31"/>
        <v>176</v>
      </c>
      <c r="L12" s="14">
        <f t="shared" si="32"/>
        <v>2.7408764732179742</v>
      </c>
      <c r="M12" s="7">
        <f t="shared" si="33"/>
        <v>482.39425928636348</v>
      </c>
      <c r="O12" s="15">
        <f t="shared" si="34"/>
        <v>4</v>
      </c>
      <c r="P12" s="7">
        <f t="shared" si="7"/>
        <v>55.320442578711408</v>
      </c>
      <c r="Q12" s="7">
        <f t="shared" si="8"/>
        <v>221.28177031484563</v>
      </c>
      <c r="S12" s="15">
        <f t="shared" si="35"/>
        <v>2</v>
      </c>
      <c r="T12" s="7">
        <f t="shared" si="9"/>
        <v>55.320442578711408</v>
      </c>
      <c r="U12" s="7">
        <f t="shared" si="10"/>
        <v>110.64088515742282</v>
      </c>
      <c r="W12" s="14">
        <f t="shared" si="36"/>
        <v>8</v>
      </c>
      <c r="X12" s="7">
        <f t="shared" si="11"/>
        <v>165.96132773613425</v>
      </c>
      <c r="Y12" s="22">
        <f t="shared" si="12"/>
        <v>1327.690621889074</v>
      </c>
      <c r="AA12" s="7">
        <f t="shared" si="13"/>
        <v>81.940106950410254</v>
      </c>
      <c r="AB12" s="7">
        <f t="shared" si="2"/>
        <v>1261.877647036318</v>
      </c>
      <c r="AD12" s="7">
        <f t="shared" si="14"/>
        <v>15.4</v>
      </c>
      <c r="AE12" s="7">
        <f t="shared" si="15"/>
        <v>351.17188693032966</v>
      </c>
      <c r="AF12" s="22">
        <f t="shared" si="16"/>
        <v>5408.0470587270765</v>
      </c>
      <c r="AG12" s="7">
        <f t="shared" si="37"/>
        <v>32</v>
      </c>
      <c r="AH12" s="7">
        <f t="shared" si="17"/>
        <v>87.792971732582416</v>
      </c>
      <c r="AI12" s="22">
        <f t="shared" si="18"/>
        <v>2809.3750954426373</v>
      </c>
      <c r="AJ12" s="22">
        <f t="shared" si="3"/>
        <v>8217.4221541697134</v>
      </c>
      <c r="AL12" s="15">
        <f t="shared" si="38"/>
        <v>0.5</v>
      </c>
      <c r="AM12" s="7">
        <f t="shared" si="19"/>
        <v>113.49298860560747</v>
      </c>
      <c r="AN12" s="7">
        <f t="shared" si="20"/>
        <v>56.746494302803733</v>
      </c>
      <c r="AP12" s="7">
        <f t="shared" si="39"/>
        <v>36</v>
      </c>
      <c r="AQ12" s="7">
        <f t="shared" si="21"/>
        <v>26.337891519774711</v>
      </c>
      <c r="AR12" s="22">
        <f t="shared" si="22"/>
        <v>948.16409471188956</v>
      </c>
      <c r="AS12" s="7">
        <f t="shared" si="40"/>
        <v>60</v>
      </c>
      <c r="AT12" s="7">
        <f t="shared" si="23"/>
        <v>26.337891519774711</v>
      </c>
      <c r="AU12" s="22">
        <f t="shared" si="24"/>
        <v>1580.2734911864827</v>
      </c>
      <c r="AV12" s="22">
        <f t="shared" si="25"/>
        <v>2528.4375858983722</v>
      </c>
      <c r="AX12" s="7">
        <f t="shared" si="41"/>
        <v>231</v>
      </c>
      <c r="AY12" s="7">
        <f t="shared" si="26"/>
        <v>26.337891519774711</v>
      </c>
      <c r="AZ12" s="22">
        <f t="shared" si="42"/>
        <v>6084.0529410679583</v>
      </c>
      <c r="BB12" s="7">
        <f t="shared" si="27"/>
        <v>154</v>
      </c>
      <c r="BD12" s="22">
        <f t="shared" si="4"/>
        <v>20444.544359122872</v>
      </c>
      <c r="BF12" s="22">
        <f t="shared" si="5"/>
        <v>32518.850323493945</v>
      </c>
      <c r="BH12" s="15">
        <f t="shared" si="43"/>
        <v>5.6865792485063569</v>
      </c>
      <c r="BJ12" s="7">
        <f t="shared" si="46"/>
        <v>147.19696704</v>
      </c>
      <c r="BK12" s="7">
        <f t="shared" si="44"/>
        <v>165.98724522240246</v>
      </c>
      <c r="BL12" s="7">
        <f t="shared" si="44"/>
        <v>146.61426279341262</v>
      </c>
      <c r="BM12" s="7">
        <v>110.30001799927945</v>
      </c>
    </row>
    <row r="13" spans="1:65" x14ac:dyDescent="0.2">
      <c r="A13" s="8">
        <f t="shared" si="6"/>
        <v>2027</v>
      </c>
      <c r="B13" s="22">
        <f>+B12</f>
        <v>3494.9143520013477</v>
      </c>
      <c r="C13" s="22">
        <f t="shared" si="28"/>
        <v>3549.2352800299059</v>
      </c>
      <c r="E13" s="15">
        <f t="shared" si="29"/>
        <v>13.98126686121879</v>
      </c>
      <c r="F13" s="15">
        <f t="shared" si="30"/>
        <v>15.4</v>
      </c>
      <c r="H13" s="22">
        <f t="shared" si="0"/>
        <v>48863.330212434383</v>
      </c>
      <c r="I13" s="22">
        <f t="shared" si="1"/>
        <v>54658.223312460548</v>
      </c>
      <c r="K13" s="54">
        <f t="shared" si="31"/>
        <v>176</v>
      </c>
      <c r="L13" s="14">
        <f t="shared" si="32"/>
        <v>2.8561085582096628</v>
      </c>
      <c r="M13" s="7">
        <f t="shared" si="33"/>
        <v>502.67510624490063</v>
      </c>
      <c r="O13" s="15">
        <f t="shared" si="34"/>
        <v>4</v>
      </c>
      <c r="P13" s="7">
        <f t="shared" si="7"/>
        <v>57.646227780378517</v>
      </c>
      <c r="Q13" s="7">
        <f t="shared" si="8"/>
        <v>230.58491112151407</v>
      </c>
      <c r="S13" s="15">
        <f t="shared" si="35"/>
        <v>2</v>
      </c>
      <c r="T13" s="7">
        <f t="shared" si="9"/>
        <v>57.646227780378517</v>
      </c>
      <c r="U13" s="7">
        <f t="shared" si="10"/>
        <v>115.29245556075703</v>
      </c>
      <c r="W13" s="14">
        <f t="shared" si="36"/>
        <v>8</v>
      </c>
      <c r="X13" s="7">
        <f t="shared" si="11"/>
        <v>172.9386833411356</v>
      </c>
      <c r="Y13" s="22">
        <f t="shared" si="12"/>
        <v>1383.5094667290848</v>
      </c>
      <c r="AA13" s="7">
        <f t="shared" si="13"/>
        <v>84.56219037282338</v>
      </c>
      <c r="AB13" s="7">
        <f t="shared" si="2"/>
        <v>1302.25773174148</v>
      </c>
      <c r="AD13" s="7">
        <f t="shared" si="14"/>
        <v>15.4</v>
      </c>
      <c r="AE13" s="7">
        <f t="shared" si="15"/>
        <v>362.40938731210025</v>
      </c>
      <c r="AF13" s="22">
        <f t="shared" si="16"/>
        <v>5581.104564606344</v>
      </c>
      <c r="AG13" s="7">
        <f t="shared" si="37"/>
        <v>32</v>
      </c>
      <c r="AH13" s="7">
        <f t="shared" si="17"/>
        <v>90.602346828025063</v>
      </c>
      <c r="AI13" s="22">
        <f t="shared" si="18"/>
        <v>2899.275098496802</v>
      </c>
      <c r="AJ13" s="22">
        <f t="shared" si="3"/>
        <v>8480.3796631031455</v>
      </c>
      <c r="AL13" s="15">
        <f t="shared" si="38"/>
        <v>0.5</v>
      </c>
      <c r="AM13" s="7">
        <f t="shared" si="19"/>
        <v>117.12476424098692</v>
      </c>
      <c r="AN13" s="7">
        <f t="shared" si="20"/>
        <v>58.56238212049346</v>
      </c>
      <c r="AP13" s="7">
        <f t="shared" si="39"/>
        <v>36</v>
      </c>
      <c r="AQ13" s="7">
        <f t="shared" si="21"/>
        <v>27.180704048407499</v>
      </c>
      <c r="AR13" s="22">
        <f t="shared" si="22"/>
        <v>978.50534574266999</v>
      </c>
      <c r="AS13" s="7">
        <f t="shared" si="40"/>
        <v>60</v>
      </c>
      <c r="AT13" s="7">
        <f t="shared" si="23"/>
        <v>27.180704048407499</v>
      </c>
      <c r="AU13" s="22">
        <f t="shared" si="24"/>
        <v>1630.8422429044499</v>
      </c>
      <c r="AV13" s="22">
        <f t="shared" si="25"/>
        <v>2609.3475886471197</v>
      </c>
      <c r="AX13" s="7">
        <f t="shared" si="41"/>
        <v>231</v>
      </c>
      <c r="AY13" s="7">
        <f t="shared" si="26"/>
        <v>27.180704048407499</v>
      </c>
      <c r="AZ13" s="22">
        <f t="shared" si="42"/>
        <v>6278.7426351821323</v>
      </c>
      <c r="BB13" s="7">
        <f t="shared" si="27"/>
        <v>154</v>
      </c>
      <c r="BD13" s="22">
        <f t="shared" si="4"/>
        <v>21115.35194045063</v>
      </c>
      <c r="BF13" s="22">
        <f t="shared" si="5"/>
        <v>33542.871372009919</v>
      </c>
      <c r="BH13" s="15">
        <f t="shared" si="43"/>
        <v>5.6922278682320542</v>
      </c>
      <c r="BJ13" s="7">
        <f t="shared" si="46"/>
        <v>151.90726998528001</v>
      </c>
      <c r="BK13" s="7">
        <f t="shared" si="44"/>
        <v>171.29883706951935</v>
      </c>
      <c r="BL13" s="7">
        <f t="shared" si="44"/>
        <v>151.30591920280182</v>
      </c>
      <c r="BM13" s="7">
        <v>114.93725764611229</v>
      </c>
    </row>
    <row r="14" spans="1:65" x14ac:dyDescent="0.2">
      <c r="A14" s="8">
        <f t="shared" si="6"/>
        <v>2028</v>
      </c>
      <c r="B14" s="22">
        <f t="shared" ref="B14:B41" si="47">+B13</f>
        <v>3494.9143520013477</v>
      </c>
      <c r="C14" s="22">
        <f t="shared" si="28"/>
        <v>3662.8108089908628</v>
      </c>
      <c r="E14" s="15">
        <f t="shared" si="29"/>
        <v>13.833749311014707</v>
      </c>
      <c r="F14" s="15">
        <f t="shared" si="30"/>
        <v>15.4</v>
      </c>
      <c r="H14" s="22">
        <f t="shared" si="0"/>
        <v>48347.769009054049</v>
      </c>
      <c r="I14" s="22">
        <f t="shared" si="1"/>
        <v>56407.28645845929</v>
      </c>
      <c r="K14" s="54">
        <f t="shared" si="31"/>
        <v>176</v>
      </c>
      <c r="L14" s="14">
        <f t="shared" si="32"/>
        <v>2.9659339191486995</v>
      </c>
      <c r="M14" s="7">
        <f t="shared" si="33"/>
        <v>522.00436977017114</v>
      </c>
      <c r="O14" s="15">
        <f t="shared" si="34"/>
        <v>4</v>
      </c>
      <c r="P14" s="7">
        <f t="shared" si="7"/>
        <v>59.862886441533398</v>
      </c>
      <c r="Q14" s="7">
        <f t="shared" si="8"/>
        <v>239.45154576613359</v>
      </c>
      <c r="S14" s="15">
        <f t="shared" si="35"/>
        <v>2</v>
      </c>
      <c r="T14" s="7">
        <f t="shared" si="9"/>
        <v>59.862886441533398</v>
      </c>
      <c r="U14" s="7">
        <f t="shared" si="10"/>
        <v>119.7257728830668</v>
      </c>
      <c r="W14" s="14">
        <f t="shared" si="36"/>
        <v>8</v>
      </c>
      <c r="X14" s="7">
        <f t="shared" si="11"/>
        <v>179.58865932460023</v>
      </c>
      <c r="Y14" s="22">
        <f t="shared" si="12"/>
        <v>1436.7092745968018</v>
      </c>
      <c r="AA14" s="7">
        <f t="shared" si="13"/>
        <v>87.268180464753726</v>
      </c>
      <c r="AB14" s="7">
        <f t="shared" si="2"/>
        <v>1343.9299791572075</v>
      </c>
      <c r="AD14" s="7">
        <f t="shared" si="14"/>
        <v>15.4</v>
      </c>
      <c r="AE14" s="7">
        <f t="shared" si="15"/>
        <v>374.00648770608746</v>
      </c>
      <c r="AF14" s="22">
        <f t="shared" si="16"/>
        <v>5759.6999106737467</v>
      </c>
      <c r="AG14" s="7">
        <f t="shared" si="37"/>
        <v>32</v>
      </c>
      <c r="AH14" s="7">
        <f t="shared" si="17"/>
        <v>93.501621926521864</v>
      </c>
      <c r="AI14" s="22">
        <f t="shared" si="18"/>
        <v>2992.0519016486996</v>
      </c>
      <c r="AJ14" s="22">
        <f t="shared" si="3"/>
        <v>8751.7518123224472</v>
      </c>
      <c r="AL14" s="15">
        <f t="shared" si="38"/>
        <v>0.5</v>
      </c>
      <c r="AM14" s="7">
        <f t="shared" si="19"/>
        <v>120.87275669669849</v>
      </c>
      <c r="AN14" s="7">
        <f t="shared" si="20"/>
        <v>60.436378348349244</v>
      </c>
      <c r="AP14" s="7">
        <f t="shared" si="39"/>
        <v>36</v>
      </c>
      <c r="AQ14" s="7">
        <f t="shared" si="21"/>
        <v>28.050486577956541</v>
      </c>
      <c r="AR14" s="22">
        <f t="shared" si="22"/>
        <v>1009.8175168064355</v>
      </c>
      <c r="AS14" s="7">
        <f t="shared" si="40"/>
        <v>60</v>
      </c>
      <c r="AT14" s="7">
        <f t="shared" si="23"/>
        <v>28.050486577956541</v>
      </c>
      <c r="AU14" s="22">
        <f t="shared" si="24"/>
        <v>1683.0291946773925</v>
      </c>
      <c r="AV14" s="22">
        <f t="shared" si="25"/>
        <v>2692.8467114838281</v>
      </c>
      <c r="AX14" s="7">
        <f t="shared" si="41"/>
        <v>231</v>
      </c>
      <c r="AY14" s="7">
        <f t="shared" si="26"/>
        <v>28.050486577956541</v>
      </c>
      <c r="AZ14" s="22">
        <f t="shared" si="42"/>
        <v>6479.6623995079608</v>
      </c>
      <c r="BB14" s="7">
        <f t="shared" si="27"/>
        <v>154</v>
      </c>
      <c r="BD14" s="22">
        <f t="shared" si="4"/>
        <v>21800.518243835966</v>
      </c>
      <c r="BF14" s="22">
        <f t="shared" si="5"/>
        <v>34606.768214623327</v>
      </c>
      <c r="BH14" s="15">
        <f t="shared" si="43"/>
        <v>5.6957064006479863</v>
      </c>
      <c r="BJ14" s="7">
        <f t="shared" si="46"/>
        <v>156.76830262480897</v>
      </c>
      <c r="BK14" s="7">
        <f t="shared" si="44"/>
        <v>176.78039985574398</v>
      </c>
      <c r="BL14" s="7">
        <f t="shared" si="44"/>
        <v>156.14770861729147</v>
      </c>
      <c r="BM14" s="7">
        <v>119.35691661532179</v>
      </c>
    </row>
    <row r="15" spans="1:65" x14ac:dyDescent="0.2">
      <c r="A15" s="8">
        <f t="shared" si="6"/>
        <v>2029</v>
      </c>
      <c r="B15" s="22">
        <f t="shared" si="47"/>
        <v>3494.9143520013477</v>
      </c>
      <c r="C15" s="22">
        <f t="shared" si="28"/>
        <v>3780.0207548785702</v>
      </c>
      <c r="E15" s="15">
        <f t="shared" si="29"/>
        <v>13.687788231181601</v>
      </c>
      <c r="F15" s="15">
        <f t="shared" si="30"/>
        <v>15.4</v>
      </c>
      <c r="H15" s="22">
        <f t="shared" si="0"/>
        <v>47837.647536311721</v>
      </c>
      <c r="I15" s="22">
        <f t="shared" si="1"/>
        <v>58212.319625129981</v>
      </c>
      <c r="K15" s="54">
        <f t="shared" si="31"/>
        <v>176</v>
      </c>
      <c r="L15" s="14">
        <f t="shared" si="32"/>
        <v>3.0234310454842381</v>
      </c>
      <c r="M15" s="7">
        <f t="shared" si="33"/>
        <v>532.12386400522587</v>
      </c>
      <c r="O15" s="15">
        <f t="shared" si="34"/>
        <v>4</v>
      </c>
      <c r="P15" s="7">
        <f t="shared" si="7"/>
        <v>61.023378899681887</v>
      </c>
      <c r="Q15" s="7">
        <f t="shared" si="8"/>
        <v>244.09351559872755</v>
      </c>
      <c r="S15" s="15">
        <f t="shared" si="35"/>
        <v>2</v>
      </c>
      <c r="T15" s="7">
        <f t="shared" si="9"/>
        <v>61.023378899681887</v>
      </c>
      <c r="U15" s="7">
        <f t="shared" si="10"/>
        <v>122.04675779936377</v>
      </c>
      <c r="W15" s="14">
        <f t="shared" si="36"/>
        <v>8</v>
      </c>
      <c r="X15" s="7">
        <f t="shared" si="11"/>
        <v>183.07013669904569</v>
      </c>
      <c r="Y15" s="22">
        <f t="shared" si="12"/>
        <v>1464.5610935923655</v>
      </c>
      <c r="AA15" s="7">
        <f t="shared" si="13"/>
        <v>90.060762239625845</v>
      </c>
      <c r="AB15" s="7">
        <f t="shared" si="2"/>
        <v>1386.935738490238</v>
      </c>
      <c r="AD15" s="7">
        <f t="shared" si="14"/>
        <v>15.4</v>
      </c>
      <c r="AE15" s="7">
        <f t="shared" si="15"/>
        <v>385.97469531268229</v>
      </c>
      <c r="AF15" s="22">
        <f t="shared" si="16"/>
        <v>5944.010307815307</v>
      </c>
      <c r="AG15" s="7">
        <f t="shared" si="37"/>
        <v>32</v>
      </c>
      <c r="AH15" s="7">
        <f t="shared" si="17"/>
        <v>96.493673828170571</v>
      </c>
      <c r="AI15" s="22">
        <f t="shared" si="18"/>
        <v>3087.7975625014583</v>
      </c>
      <c r="AJ15" s="22">
        <f t="shared" si="3"/>
        <v>9031.8078703167648</v>
      </c>
      <c r="AL15" s="15">
        <f t="shared" si="38"/>
        <v>0.5</v>
      </c>
      <c r="AM15" s="7">
        <f t="shared" si="19"/>
        <v>124.74068491099284</v>
      </c>
      <c r="AN15" s="7">
        <f t="shared" si="20"/>
        <v>62.37034245549642</v>
      </c>
      <c r="AP15" s="7">
        <f t="shared" si="39"/>
        <v>36</v>
      </c>
      <c r="AQ15" s="7">
        <f t="shared" si="21"/>
        <v>28.948102148451149</v>
      </c>
      <c r="AR15" s="22">
        <f t="shared" si="22"/>
        <v>1042.1316773442413</v>
      </c>
      <c r="AS15" s="7">
        <f t="shared" si="40"/>
        <v>60</v>
      </c>
      <c r="AT15" s="7">
        <f t="shared" si="23"/>
        <v>28.948102148451149</v>
      </c>
      <c r="AU15" s="22">
        <f t="shared" si="24"/>
        <v>1736.886128907069</v>
      </c>
      <c r="AV15" s="22">
        <f t="shared" si="25"/>
        <v>2779.0178062513105</v>
      </c>
      <c r="AX15" s="7">
        <f t="shared" si="41"/>
        <v>231</v>
      </c>
      <c r="AY15" s="7">
        <f t="shared" si="26"/>
        <v>28.948102148451149</v>
      </c>
      <c r="AZ15" s="22">
        <f t="shared" si="42"/>
        <v>6687.0115962922155</v>
      </c>
      <c r="BB15" s="7">
        <f t="shared" si="27"/>
        <v>154</v>
      </c>
      <c r="BD15" s="22">
        <f t="shared" si="4"/>
        <v>22463.968584801711</v>
      </c>
      <c r="BF15" s="22">
        <f t="shared" si="5"/>
        <v>35748.351040328271</v>
      </c>
      <c r="BH15" s="15">
        <f t="shared" si="43"/>
        <v>5.6872140192270022</v>
      </c>
      <c r="BJ15" s="7">
        <f t="shared" si="46"/>
        <v>161.78488830880286</v>
      </c>
      <c r="BK15" s="7">
        <f t="shared" si="44"/>
        <v>182.43737265112779</v>
      </c>
      <c r="BL15" s="7">
        <f t="shared" si="44"/>
        <v>161.14443529304481</v>
      </c>
      <c r="BM15" s="7">
        <v>121.670750942292</v>
      </c>
    </row>
    <row r="16" spans="1:65" x14ac:dyDescent="0.2">
      <c r="A16" s="8">
        <f t="shared" si="6"/>
        <v>2030</v>
      </c>
      <c r="B16" s="22">
        <f t="shared" si="47"/>
        <v>3494.9143520013477</v>
      </c>
      <c r="C16" s="22">
        <f t="shared" si="28"/>
        <v>3900.9814190346842</v>
      </c>
      <c r="E16" s="15">
        <f t="shared" si="29"/>
        <v>13.543367199266603</v>
      </c>
      <c r="F16" s="15">
        <f t="shared" si="30"/>
        <v>15.4</v>
      </c>
      <c r="H16" s="22">
        <f t="shared" si="0"/>
        <v>47332.908399141146</v>
      </c>
      <c r="I16" s="22">
        <f t="shared" si="1"/>
        <v>60075.113853134135</v>
      </c>
      <c r="K16" s="54">
        <f t="shared" si="31"/>
        <v>176</v>
      </c>
      <c r="L16" s="14">
        <f t="shared" si="32"/>
        <v>3.0811015442313106</v>
      </c>
      <c r="M16" s="7">
        <f t="shared" si="33"/>
        <v>542.27387178471065</v>
      </c>
      <c r="O16" s="15">
        <f t="shared" si="34"/>
        <v>4</v>
      </c>
      <c r="P16" s="7">
        <f t="shared" si="7"/>
        <v>62.187370617512713</v>
      </c>
      <c r="Q16" s="7">
        <f t="shared" si="8"/>
        <v>248.74948247005085</v>
      </c>
      <c r="S16" s="15">
        <f t="shared" si="35"/>
        <v>2</v>
      </c>
      <c r="T16" s="7">
        <f t="shared" si="9"/>
        <v>62.187370617512713</v>
      </c>
      <c r="U16" s="7">
        <f t="shared" si="10"/>
        <v>124.37474123502543</v>
      </c>
      <c r="W16" s="14">
        <f t="shared" si="36"/>
        <v>8</v>
      </c>
      <c r="X16" s="7">
        <f t="shared" si="11"/>
        <v>186.56211185253815</v>
      </c>
      <c r="Y16" s="22">
        <f t="shared" si="12"/>
        <v>1492.4968948203052</v>
      </c>
      <c r="AA16" s="7">
        <f t="shared" si="13"/>
        <v>92.942706631293873</v>
      </c>
      <c r="AB16" s="7">
        <f t="shared" si="2"/>
        <v>1431.3176821219256</v>
      </c>
      <c r="AD16" s="7">
        <f t="shared" si="14"/>
        <v>15.4</v>
      </c>
      <c r="AE16" s="7">
        <f t="shared" si="15"/>
        <v>398.32588556268814</v>
      </c>
      <c r="AF16" s="22">
        <f t="shared" si="16"/>
        <v>6134.2186376653972</v>
      </c>
      <c r="AG16" s="7">
        <f t="shared" si="37"/>
        <v>32</v>
      </c>
      <c r="AH16" s="7">
        <f t="shared" si="17"/>
        <v>99.581471390672036</v>
      </c>
      <c r="AI16" s="22">
        <f t="shared" si="18"/>
        <v>3186.6070845015051</v>
      </c>
      <c r="AJ16" s="22">
        <f t="shared" si="3"/>
        <v>9320.8257221669028</v>
      </c>
      <c r="AL16" s="15">
        <f t="shared" si="38"/>
        <v>0.5</v>
      </c>
      <c r="AM16" s="7">
        <f t="shared" si="19"/>
        <v>128.7323868281446</v>
      </c>
      <c r="AN16" s="7">
        <f t="shared" si="20"/>
        <v>64.366193414072299</v>
      </c>
      <c r="AP16" s="7">
        <f t="shared" si="39"/>
        <v>36</v>
      </c>
      <c r="AQ16" s="7">
        <f t="shared" si="21"/>
        <v>29.874441417201584</v>
      </c>
      <c r="AR16" s="22">
        <f t="shared" si="22"/>
        <v>1075.4798910192571</v>
      </c>
      <c r="AS16" s="7">
        <f t="shared" si="40"/>
        <v>60</v>
      </c>
      <c r="AT16" s="7">
        <f t="shared" si="23"/>
        <v>29.874441417201584</v>
      </c>
      <c r="AU16" s="22">
        <f t="shared" si="24"/>
        <v>1792.4664850320951</v>
      </c>
      <c r="AV16" s="22">
        <f t="shared" si="25"/>
        <v>2867.9463760513522</v>
      </c>
      <c r="AX16" s="7">
        <f t="shared" si="41"/>
        <v>231</v>
      </c>
      <c r="AY16" s="7">
        <f t="shared" si="26"/>
        <v>29.874441417201584</v>
      </c>
      <c r="AZ16" s="22">
        <f t="shared" si="42"/>
        <v>6900.9959673735657</v>
      </c>
      <c r="BB16" s="7">
        <f t="shared" si="27"/>
        <v>154</v>
      </c>
      <c r="BD16" s="22">
        <f t="shared" si="4"/>
        <v>23147.346931437911</v>
      </c>
      <c r="BF16" s="22">
        <f t="shared" si="5"/>
        <v>36927.766921696224</v>
      </c>
      <c r="BH16" s="15">
        <f t="shared" si="43"/>
        <v>5.6786435120826013</v>
      </c>
      <c r="BJ16" s="7">
        <f t="shared" si="46"/>
        <v>166.96200473468454</v>
      </c>
      <c r="BK16" s="7">
        <f t="shared" si="44"/>
        <v>188.27536857596388</v>
      </c>
      <c r="BL16" s="7">
        <f t="shared" si="44"/>
        <v>166.30105722242223</v>
      </c>
      <c r="BM16" s="7">
        <v>123.9915622272899</v>
      </c>
    </row>
    <row r="17" spans="1:65" x14ac:dyDescent="0.2">
      <c r="A17" s="8">
        <f t="shared" si="6"/>
        <v>2031</v>
      </c>
      <c r="B17" s="22">
        <f t="shared" si="47"/>
        <v>3494.9143520013477</v>
      </c>
      <c r="C17" s="22">
        <f t="shared" si="28"/>
        <v>4025.8128244437944</v>
      </c>
      <c r="E17" s="15">
        <f t="shared" si="29"/>
        <v>13.400469966091556</v>
      </c>
      <c r="F17" s="15">
        <f t="shared" si="30"/>
        <v>15.4</v>
      </c>
      <c r="H17" s="22">
        <f t="shared" si="0"/>
        <v>46833.494808056392</v>
      </c>
      <c r="I17" s="22">
        <f t="shared" si="1"/>
        <v>61997.517496434433</v>
      </c>
      <c r="K17" s="54">
        <f t="shared" si="31"/>
        <v>176</v>
      </c>
      <c r="L17" s="14">
        <f t="shared" si="32"/>
        <v>3.0974308020894665</v>
      </c>
      <c r="M17" s="7">
        <f t="shared" si="33"/>
        <v>545.14782116774609</v>
      </c>
      <c r="O17" s="15">
        <f t="shared" si="34"/>
        <v>4</v>
      </c>
      <c r="P17" s="7">
        <f t="shared" si="7"/>
        <v>62.516951968778244</v>
      </c>
      <c r="Q17" s="7">
        <f t="shared" si="8"/>
        <v>250.06780787511298</v>
      </c>
      <c r="S17" s="15">
        <f t="shared" si="35"/>
        <v>2</v>
      </c>
      <c r="T17" s="7">
        <f t="shared" si="9"/>
        <v>62.516951968778244</v>
      </c>
      <c r="U17" s="7">
        <f t="shared" si="10"/>
        <v>125.03390393755649</v>
      </c>
      <c r="W17" s="14">
        <f t="shared" si="36"/>
        <v>8</v>
      </c>
      <c r="X17" s="7">
        <f t="shared" si="11"/>
        <v>187.55085590633476</v>
      </c>
      <c r="Y17" s="22">
        <f t="shared" si="12"/>
        <v>1500.4068472506781</v>
      </c>
      <c r="AA17" s="7">
        <f t="shared" si="13"/>
        <v>95.916873243495274</v>
      </c>
      <c r="AB17" s="7">
        <f t="shared" si="2"/>
        <v>1477.1198479498273</v>
      </c>
      <c r="AD17" s="7">
        <f t="shared" si="14"/>
        <v>15.4</v>
      </c>
      <c r="AE17" s="7">
        <f t="shared" si="15"/>
        <v>411.07231390069416</v>
      </c>
      <c r="AF17" s="22">
        <f t="shared" si="16"/>
        <v>6330.5136340706904</v>
      </c>
      <c r="AG17" s="7">
        <f t="shared" si="37"/>
        <v>32</v>
      </c>
      <c r="AH17" s="7">
        <f t="shared" si="17"/>
        <v>102.76807847517354</v>
      </c>
      <c r="AI17" s="22">
        <f t="shared" si="18"/>
        <v>3288.5785112055532</v>
      </c>
      <c r="AJ17" s="22">
        <f t="shared" si="3"/>
        <v>9619.0921452762432</v>
      </c>
      <c r="AL17" s="15">
        <f t="shared" si="38"/>
        <v>0.5</v>
      </c>
      <c r="AM17" s="7">
        <f t="shared" si="19"/>
        <v>132.85182320664524</v>
      </c>
      <c r="AN17" s="7">
        <f t="shared" si="20"/>
        <v>66.425911603322618</v>
      </c>
      <c r="AP17" s="7">
        <f t="shared" si="39"/>
        <v>36</v>
      </c>
      <c r="AQ17" s="7">
        <f t="shared" si="21"/>
        <v>30.83042354255203</v>
      </c>
      <c r="AR17" s="22">
        <f t="shared" si="22"/>
        <v>1109.8952475318731</v>
      </c>
      <c r="AS17" s="7">
        <f t="shared" si="40"/>
        <v>60</v>
      </c>
      <c r="AT17" s="7">
        <f t="shared" si="23"/>
        <v>30.83042354255203</v>
      </c>
      <c r="AU17" s="22">
        <f t="shared" si="24"/>
        <v>1849.8254125531219</v>
      </c>
      <c r="AV17" s="22">
        <f t="shared" si="25"/>
        <v>2959.720660084995</v>
      </c>
      <c r="AX17" s="7">
        <f t="shared" si="41"/>
        <v>231</v>
      </c>
      <c r="AY17" s="7">
        <f t="shared" si="26"/>
        <v>30.83042354255203</v>
      </c>
      <c r="AZ17" s="22">
        <f t="shared" si="42"/>
        <v>7121.8278383295192</v>
      </c>
      <c r="BB17" s="7">
        <f t="shared" si="27"/>
        <v>154</v>
      </c>
      <c r="BD17" s="22">
        <f t="shared" si="4"/>
        <v>23818.842783475</v>
      </c>
      <c r="BF17" s="22">
        <f t="shared" si="5"/>
        <v>38178.67471295943</v>
      </c>
      <c r="BH17" s="15">
        <f t="shared" si="43"/>
        <v>5.661727999879508</v>
      </c>
      <c r="BJ17" s="7">
        <f t="shared" si="46"/>
        <v>172.30478888619444</v>
      </c>
      <c r="BK17" s="7">
        <f t="shared" si="44"/>
        <v>194.30018037039471</v>
      </c>
      <c r="BL17" s="7">
        <f t="shared" si="44"/>
        <v>171.62269105353974</v>
      </c>
      <c r="BM17" s="7">
        <v>124.64869415325184</v>
      </c>
    </row>
    <row r="18" spans="1:65" x14ac:dyDescent="0.2">
      <c r="A18" s="8">
        <f t="shared" si="6"/>
        <v>2032</v>
      </c>
      <c r="B18" s="22">
        <f t="shared" si="47"/>
        <v>3494.9143520013477</v>
      </c>
      <c r="C18" s="22">
        <f t="shared" si="28"/>
        <v>4154.6388348259952</v>
      </c>
      <c r="E18" s="15">
        <f t="shared" si="29"/>
        <v>13.259080453924781</v>
      </c>
      <c r="F18" s="15">
        <f t="shared" si="30"/>
        <v>15.4</v>
      </c>
      <c r="H18" s="22">
        <f t="shared" si="0"/>
        <v>46339.350572762261</v>
      </c>
      <c r="I18" s="22">
        <f t="shared" si="1"/>
        <v>63981.43805632033</v>
      </c>
      <c r="K18" s="54">
        <f t="shared" si="31"/>
        <v>176</v>
      </c>
      <c r="L18" s="14">
        <f t="shared" si="32"/>
        <v>3.108713872341633</v>
      </c>
      <c r="M18" s="7">
        <f t="shared" si="33"/>
        <v>547.1336415321274</v>
      </c>
      <c r="O18" s="15">
        <f t="shared" si="34"/>
        <v>4</v>
      </c>
      <c r="P18" s="7">
        <f t="shared" si="7"/>
        <v>62.744683661941238</v>
      </c>
      <c r="Q18" s="7">
        <f t="shared" si="8"/>
        <v>250.97873464776495</v>
      </c>
      <c r="S18" s="15">
        <f t="shared" si="35"/>
        <v>2</v>
      </c>
      <c r="T18" s="7">
        <f t="shared" si="9"/>
        <v>62.744683661941238</v>
      </c>
      <c r="U18" s="7">
        <f t="shared" si="10"/>
        <v>125.48936732388248</v>
      </c>
      <c r="W18" s="14">
        <f t="shared" si="36"/>
        <v>8</v>
      </c>
      <c r="X18" s="7">
        <f t="shared" si="11"/>
        <v>188.23405098582373</v>
      </c>
      <c r="Y18" s="22">
        <f t="shared" si="12"/>
        <v>1505.8724078865898</v>
      </c>
      <c r="AA18" s="7">
        <f t="shared" si="13"/>
        <v>98.98621318728712</v>
      </c>
      <c r="AB18" s="7">
        <f t="shared" si="2"/>
        <v>1524.3876830842216</v>
      </c>
      <c r="AD18" s="7">
        <f t="shared" si="14"/>
        <v>15.4</v>
      </c>
      <c r="AE18" s="7">
        <f t="shared" si="15"/>
        <v>424.22662794551638</v>
      </c>
      <c r="AF18" s="22">
        <f t="shared" si="16"/>
        <v>6533.0900703609523</v>
      </c>
      <c r="AG18" s="7">
        <f t="shared" si="37"/>
        <v>32</v>
      </c>
      <c r="AH18" s="7">
        <f t="shared" si="17"/>
        <v>106.0566569863791</v>
      </c>
      <c r="AI18" s="22">
        <f t="shared" si="18"/>
        <v>3393.8130235641311</v>
      </c>
      <c r="AJ18" s="22">
        <f t="shared" si="3"/>
        <v>9926.9030939250842</v>
      </c>
      <c r="AL18" s="15">
        <f t="shared" si="38"/>
        <v>0.5</v>
      </c>
      <c r="AM18" s="7">
        <f t="shared" si="19"/>
        <v>137.10308154925789</v>
      </c>
      <c r="AN18" s="7">
        <f t="shared" si="20"/>
        <v>68.551540774628947</v>
      </c>
      <c r="AP18" s="7">
        <f t="shared" si="39"/>
        <v>36</v>
      </c>
      <c r="AQ18" s="7">
        <f t="shared" si="21"/>
        <v>31.816997095913695</v>
      </c>
      <c r="AR18" s="22">
        <f t="shared" si="22"/>
        <v>1145.4118954528931</v>
      </c>
      <c r="AS18" s="7">
        <f t="shared" si="40"/>
        <v>60</v>
      </c>
      <c r="AT18" s="7">
        <f t="shared" si="23"/>
        <v>31.816997095913695</v>
      </c>
      <c r="AU18" s="22">
        <f t="shared" si="24"/>
        <v>1909.0198257548218</v>
      </c>
      <c r="AV18" s="22">
        <f t="shared" si="25"/>
        <v>3054.4317212077149</v>
      </c>
      <c r="AX18" s="7">
        <f t="shared" si="41"/>
        <v>231</v>
      </c>
      <c r="AY18" s="7">
        <f t="shared" si="26"/>
        <v>31.816997095913695</v>
      </c>
      <c r="AZ18" s="22">
        <f t="shared" si="42"/>
        <v>7349.7263291560639</v>
      </c>
      <c r="BB18" s="7">
        <f t="shared" si="27"/>
        <v>154</v>
      </c>
      <c r="BD18" s="22">
        <f t="shared" si="4"/>
        <v>24507.474519538078</v>
      </c>
      <c r="BF18" s="22">
        <f t="shared" si="5"/>
        <v>39473.963536782248</v>
      </c>
      <c r="BH18" s="15">
        <f t="shared" si="43"/>
        <v>5.6442639138697039</v>
      </c>
      <c r="BJ18" s="7">
        <f t="shared" si="46"/>
        <v>177.81854213055266</v>
      </c>
      <c r="BK18" s="7">
        <f t="shared" si="44"/>
        <v>200.51778614224733</v>
      </c>
      <c r="BL18" s="7">
        <f t="shared" si="44"/>
        <v>177.11461716725302</v>
      </c>
      <c r="BM18" s="7">
        <v>125.10275432855042</v>
      </c>
    </row>
    <row r="19" spans="1:65" x14ac:dyDescent="0.2">
      <c r="A19" s="8">
        <f t="shared" si="6"/>
        <v>2033</v>
      </c>
      <c r="B19" s="22">
        <f t="shared" si="47"/>
        <v>3494.9143520013477</v>
      </c>
      <c r="C19" s="22">
        <f t="shared" si="28"/>
        <v>4287.5872775404268</v>
      </c>
      <c r="E19" s="15">
        <f t="shared" si="29"/>
        <v>13.119182754672131</v>
      </c>
      <c r="F19" s="15">
        <f t="shared" si="30"/>
        <v>15.4</v>
      </c>
      <c r="H19" s="22">
        <f t="shared" si="0"/>
        <v>45850.420095832204</v>
      </c>
      <c r="I19" s="22">
        <f t="shared" si="1"/>
        <v>66028.844074122579</v>
      </c>
      <c r="K19" s="54">
        <f t="shared" si="31"/>
        <v>176</v>
      </c>
      <c r="L19" s="14">
        <f t="shared" si="32"/>
        <v>3.0997655913649242</v>
      </c>
      <c r="M19" s="7">
        <f t="shared" si="33"/>
        <v>545.55874408022669</v>
      </c>
      <c r="O19" s="15">
        <f t="shared" si="34"/>
        <v>4</v>
      </c>
      <c r="P19" s="7">
        <f t="shared" si="7"/>
        <v>62.564076155989319</v>
      </c>
      <c r="Q19" s="7">
        <f t="shared" si="8"/>
        <v>250.25630462395728</v>
      </c>
      <c r="S19" s="15">
        <f t="shared" si="35"/>
        <v>2</v>
      </c>
      <c r="T19" s="7">
        <f t="shared" si="9"/>
        <v>62.564076155989319</v>
      </c>
      <c r="U19" s="7">
        <f t="shared" si="10"/>
        <v>125.12815231197864</v>
      </c>
      <c r="W19" s="14">
        <f t="shared" si="36"/>
        <v>8</v>
      </c>
      <c r="X19" s="7">
        <f t="shared" si="11"/>
        <v>187.69222846796799</v>
      </c>
      <c r="Y19" s="22">
        <f t="shared" si="12"/>
        <v>1501.5378277437439</v>
      </c>
      <c r="AA19" s="7">
        <f t="shared" si="13"/>
        <v>102.15377200928032</v>
      </c>
      <c r="AB19" s="7">
        <f t="shared" si="2"/>
        <v>1573.1680889429169</v>
      </c>
      <c r="AD19" s="7">
        <f t="shared" si="14"/>
        <v>15.4</v>
      </c>
      <c r="AE19" s="7">
        <f t="shared" si="15"/>
        <v>437.80188003977293</v>
      </c>
      <c r="AF19" s="22">
        <f t="shared" si="16"/>
        <v>6742.1489526125033</v>
      </c>
      <c r="AG19" s="7">
        <f t="shared" si="37"/>
        <v>32</v>
      </c>
      <c r="AH19" s="7">
        <f t="shared" si="17"/>
        <v>109.45047000994323</v>
      </c>
      <c r="AI19" s="22">
        <f t="shared" si="18"/>
        <v>3502.4150403181834</v>
      </c>
      <c r="AJ19" s="22">
        <f t="shared" si="3"/>
        <v>10244.563992930687</v>
      </c>
      <c r="AL19" s="15">
        <f t="shared" si="38"/>
        <v>0.5</v>
      </c>
      <c r="AM19" s="7">
        <f t="shared" si="19"/>
        <v>141.49038015883414</v>
      </c>
      <c r="AN19" s="7">
        <f t="shared" si="20"/>
        <v>70.745190079417071</v>
      </c>
      <c r="AP19" s="7">
        <f t="shared" si="39"/>
        <v>36</v>
      </c>
      <c r="AQ19" s="7">
        <f t="shared" si="21"/>
        <v>32.83514100298293</v>
      </c>
      <c r="AR19" s="22">
        <f t="shared" si="22"/>
        <v>1182.0650761073855</v>
      </c>
      <c r="AS19" s="7">
        <f t="shared" si="40"/>
        <v>60</v>
      </c>
      <c r="AT19" s="7">
        <f t="shared" si="23"/>
        <v>32.83514100298293</v>
      </c>
      <c r="AU19" s="22">
        <f t="shared" si="24"/>
        <v>1970.1084601789757</v>
      </c>
      <c r="AV19" s="22">
        <f t="shared" si="25"/>
        <v>3152.173536286361</v>
      </c>
      <c r="AX19" s="7">
        <f t="shared" si="41"/>
        <v>231</v>
      </c>
      <c r="AY19" s="7">
        <f t="shared" si="26"/>
        <v>32.83514100298293</v>
      </c>
      <c r="AZ19" s="22">
        <f t="shared" si="42"/>
        <v>7584.9175716890568</v>
      </c>
      <c r="BB19" s="7">
        <f t="shared" si="27"/>
        <v>154</v>
      </c>
      <c r="BD19" s="22">
        <f t="shared" si="4"/>
        <v>25202.049408688345</v>
      </c>
      <c r="BF19" s="22">
        <f t="shared" si="5"/>
        <v>40826.794665434238</v>
      </c>
      <c r="BH19" s="15">
        <f t="shared" si="43"/>
        <v>5.6234891006506835</v>
      </c>
      <c r="BJ19" s="7">
        <f t="shared" si="46"/>
        <v>183.50873547873033</v>
      </c>
      <c r="BK19" s="7">
        <f t="shared" si="44"/>
        <v>206.93435529879923</v>
      </c>
      <c r="BL19" s="7">
        <f t="shared" si="44"/>
        <v>182.78228491660511</v>
      </c>
      <c r="BM19" s="7">
        <v>124.74265216326211</v>
      </c>
    </row>
    <row r="20" spans="1:65" x14ac:dyDescent="0.2">
      <c r="A20" s="8">
        <f t="shared" si="6"/>
        <v>2034</v>
      </c>
      <c r="B20" s="22">
        <f t="shared" si="47"/>
        <v>3494.9143520013477</v>
      </c>
      <c r="C20" s="22">
        <f t="shared" si="28"/>
        <v>4424.79007042172</v>
      </c>
      <c r="E20" s="15">
        <f t="shared" si="29"/>
        <v>12.98076112808713</v>
      </c>
      <c r="F20" s="15">
        <f t="shared" si="30"/>
        <v>15.4</v>
      </c>
      <c r="H20" s="22">
        <f t="shared" si="0"/>
        <v>45366.648366452915</v>
      </c>
      <c r="I20" s="22">
        <f t="shared" si="1"/>
        <v>68141.767084494495</v>
      </c>
      <c r="K20" s="54">
        <f t="shared" si="31"/>
        <v>176</v>
      </c>
      <c r="L20" s="14">
        <f t="shared" si="32"/>
        <v>3.0952903341185749</v>
      </c>
      <c r="M20" s="7">
        <f t="shared" si="33"/>
        <v>544.77109880486921</v>
      </c>
      <c r="O20" s="15">
        <f t="shared" si="34"/>
        <v>4</v>
      </c>
      <c r="P20" s="7">
        <f t="shared" si="7"/>
        <v>62.473749862943734</v>
      </c>
      <c r="Q20" s="7">
        <f t="shared" si="8"/>
        <v>249.89499945177494</v>
      </c>
      <c r="S20" s="15">
        <f t="shared" si="35"/>
        <v>2</v>
      </c>
      <c r="T20" s="7">
        <f t="shared" si="9"/>
        <v>62.473749862943734</v>
      </c>
      <c r="U20" s="7">
        <f t="shared" si="10"/>
        <v>124.94749972588747</v>
      </c>
      <c r="W20" s="14">
        <f t="shared" si="36"/>
        <v>8</v>
      </c>
      <c r="X20" s="7">
        <f t="shared" si="11"/>
        <v>187.42124958883122</v>
      </c>
      <c r="Y20" s="22">
        <f t="shared" si="12"/>
        <v>1499.3699967106497</v>
      </c>
      <c r="AA20" s="7">
        <f t="shared" si="13"/>
        <v>105.42269271357729</v>
      </c>
      <c r="AB20" s="7">
        <f t="shared" si="2"/>
        <v>1623.5094677890904</v>
      </c>
      <c r="AD20" s="7">
        <f t="shared" si="14"/>
        <v>15.4</v>
      </c>
      <c r="AE20" s="7">
        <f t="shared" si="15"/>
        <v>451.81154020104566</v>
      </c>
      <c r="AF20" s="22">
        <f t="shared" si="16"/>
        <v>6957.8977190961032</v>
      </c>
      <c r="AG20" s="7">
        <f t="shared" si="37"/>
        <v>32</v>
      </c>
      <c r="AH20" s="7">
        <f t="shared" si="17"/>
        <v>112.95288505026141</v>
      </c>
      <c r="AI20" s="22">
        <f t="shared" si="18"/>
        <v>3614.4923216083653</v>
      </c>
      <c r="AJ20" s="22">
        <f t="shared" si="3"/>
        <v>10572.390040704468</v>
      </c>
      <c r="AL20" s="15">
        <f t="shared" si="38"/>
        <v>0.5</v>
      </c>
      <c r="AM20" s="7">
        <f t="shared" si="19"/>
        <v>146.01807232391684</v>
      </c>
      <c r="AN20" s="7">
        <f t="shared" si="20"/>
        <v>73.00903616195842</v>
      </c>
      <c r="AP20" s="7">
        <f t="shared" si="39"/>
        <v>36</v>
      </c>
      <c r="AQ20" s="7">
        <f t="shared" si="21"/>
        <v>33.885865515078386</v>
      </c>
      <c r="AR20" s="22">
        <f t="shared" si="22"/>
        <v>1219.8911585428218</v>
      </c>
      <c r="AS20" s="7">
        <f t="shared" si="40"/>
        <v>60</v>
      </c>
      <c r="AT20" s="7">
        <f t="shared" si="23"/>
        <v>33.885865515078386</v>
      </c>
      <c r="AU20" s="22">
        <f t="shared" si="24"/>
        <v>2033.1519309047032</v>
      </c>
      <c r="AV20" s="22">
        <f t="shared" si="25"/>
        <v>3253.0430894475248</v>
      </c>
      <c r="AX20" s="7">
        <f t="shared" si="41"/>
        <v>231</v>
      </c>
      <c r="AY20" s="7">
        <f t="shared" si="26"/>
        <v>33.885865515078386</v>
      </c>
      <c r="AZ20" s="22">
        <f t="shared" si="42"/>
        <v>7827.6349339831067</v>
      </c>
      <c r="BB20" s="7">
        <f t="shared" si="27"/>
        <v>154</v>
      </c>
      <c r="BD20" s="22">
        <f t="shared" si="4"/>
        <v>25922.570162779331</v>
      </c>
      <c r="BF20" s="22">
        <f t="shared" si="5"/>
        <v>42219.196921715164</v>
      </c>
      <c r="BH20" s="15">
        <f t="shared" si="43"/>
        <v>5.6042251224718731</v>
      </c>
      <c r="BJ20" s="7">
        <f t="shared" si="46"/>
        <v>189.38101501404969</v>
      </c>
      <c r="BK20" s="7">
        <f t="shared" si="44"/>
        <v>213.55625466836082</v>
      </c>
      <c r="BL20" s="7">
        <f t="shared" si="44"/>
        <v>188.63131803393648</v>
      </c>
      <c r="BM20" s="7">
        <v>124.56255613936351</v>
      </c>
    </row>
    <row r="21" spans="1:65" x14ac:dyDescent="0.2">
      <c r="A21" s="8">
        <f t="shared" si="6"/>
        <v>2035</v>
      </c>
      <c r="B21" s="22">
        <f t="shared" si="47"/>
        <v>3494.9143520013477</v>
      </c>
      <c r="C21" s="22">
        <f t="shared" si="28"/>
        <v>4566.3833526752151</v>
      </c>
      <c r="E21" s="15">
        <f>E7*0.862</f>
        <v>12.8438</v>
      </c>
      <c r="F21" s="15">
        <f t="shared" si="30"/>
        <v>15.4</v>
      </c>
      <c r="H21" s="22">
        <f t="shared" si="0"/>
        <v>44887.98095423491</v>
      </c>
      <c r="I21" s="22">
        <f t="shared" si="1"/>
        <v>70322.303631198316</v>
      </c>
      <c r="K21" s="54">
        <f t="shared" si="31"/>
        <v>176</v>
      </c>
      <c r="L21" s="14">
        <f t="shared" si="32"/>
        <v>3.0861429403076657</v>
      </c>
      <c r="M21" s="7">
        <f t="shared" si="33"/>
        <v>543.16115749414917</v>
      </c>
      <c r="O21" s="15">
        <f t="shared" si="34"/>
        <v>4</v>
      </c>
      <c r="P21" s="7">
        <f t="shared" si="7"/>
        <v>62.289123565842814</v>
      </c>
      <c r="Q21" s="7">
        <f t="shared" si="8"/>
        <v>249.15649426337126</v>
      </c>
      <c r="S21" s="15">
        <f t="shared" si="35"/>
        <v>2</v>
      </c>
      <c r="T21" s="7">
        <f t="shared" si="9"/>
        <v>62.289123565842814</v>
      </c>
      <c r="U21" s="7">
        <f t="shared" si="10"/>
        <v>124.57824713168563</v>
      </c>
      <c r="W21" s="14">
        <f t="shared" si="36"/>
        <v>8</v>
      </c>
      <c r="X21" s="7">
        <f t="shared" si="11"/>
        <v>186.86737069752846</v>
      </c>
      <c r="Y21" s="22">
        <f t="shared" si="12"/>
        <v>1494.9389655802277</v>
      </c>
      <c r="AA21" s="7">
        <f t="shared" si="13"/>
        <v>108.79621888041177</v>
      </c>
      <c r="AB21" s="7">
        <f t="shared" si="2"/>
        <v>1675.4617707583413</v>
      </c>
      <c r="AD21" s="7">
        <f t="shared" si="14"/>
        <v>15.4</v>
      </c>
      <c r="AE21" s="7">
        <f t="shared" si="15"/>
        <v>466.26950948747913</v>
      </c>
      <c r="AF21" s="22">
        <f t="shared" si="16"/>
        <v>7180.5504461071787</v>
      </c>
      <c r="AG21" s="7">
        <f t="shared" si="37"/>
        <v>32</v>
      </c>
      <c r="AH21" s="7">
        <f t="shared" si="17"/>
        <v>116.56737737186978</v>
      </c>
      <c r="AI21" s="22">
        <f t="shared" si="18"/>
        <v>3730.156075899833</v>
      </c>
      <c r="AJ21" s="22">
        <f t="shared" si="3"/>
        <v>10910.706522007011</v>
      </c>
      <c r="AL21" s="15">
        <f t="shared" si="38"/>
        <v>0.5</v>
      </c>
      <c r="AM21" s="7">
        <f t="shared" si="19"/>
        <v>150.69065063828216</v>
      </c>
      <c r="AN21" s="7">
        <f t="shared" si="20"/>
        <v>75.345325319141082</v>
      </c>
      <c r="AP21" s="7">
        <f t="shared" si="39"/>
        <v>36</v>
      </c>
      <c r="AQ21" s="7">
        <f t="shared" si="21"/>
        <v>34.970213211560896</v>
      </c>
      <c r="AR21" s="22">
        <f t="shared" si="22"/>
        <v>1258.9276756161923</v>
      </c>
      <c r="AS21" s="7">
        <f t="shared" si="40"/>
        <v>60</v>
      </c>
      <c r="AT21" s="7">
        <f t="shared" si="23"/>
        <v>34.970213211560896</v>
      </c>
      <c r="AU21" s="22">
        <f t="shared" si="24"/>
        <v>2098.2127926936537</v>
      </c>
      <c r="AV21" s="22">
        <f t="shared" si="25"/>
        <v>3357.1404683098463</v>
      </c>
      <c r="AX21" s="7">
        <f t="shared" si="41"/>
        <v>231</v>
      </c>
      <c r="AY21" s="7">
        <f t="shared" si="26"/>
        <v>34.970213211560896</v>
      </c>
      <c r="AZ21" s="22">
        <f t="shared" si="42"/>
        <v>8078.1192518705666</v>
      </c>
      <c r="BB21" s="7">
        <f t="shared" si="27"/>
        <v>154</v>
      </c>
      <c r="BD21" s="22">
        <f t="shared" si="4"/>
        <v>26662.608202734344</v>
      </c>
      <c r="BF21" s="22">
        <f t="shared" si="5"/>
        <v>43659.695428463972</v>
      </c>
      <c r="BH21" s="15">
        <f t="shared" si="43"/>
        <v>5.5847655032417896</v>
      </c>
      <c r="BJ21" s="7">
        <f t="shared" si="46"/>
        <v>195.44120749449928</v>
      </c>
      <c r="BK21" s="7">
        <f t="shared" si="44"/>
        <v>220.39005481774836</v>
      </c>
      <c r="BL21" s="7">
        <f t="shared" si="44"/>
        <v>194.66752021102243</v>
      </c>
      <c r="BM21" s="7">
        <v>124.19444115430356</v>
      </c>
    </row>
    <row r="22" spans="1:65" x14ac:dyDescent="0.2">
      <c r="A22" s="8">
        <f t="shared" si="6"/>
        <v>2036</v>
      </c>
      <c r="B22" s="22">
        <f t="shared" si="47"/>
        <v>3494.9143520013477</v>
      </c>
      <c r="C22" s="22">
        <f t="shared" si="28"/>
        <v>4712.507619960822</v>
      </c>
      <c r="E22" s="15">
        <f>E21*((E$41/E$21)^(1/($A$41-$A$21)))</f>
        <v>12.797551601460592</v>
      </c>
      <c r="F22" s="15">
        <f t="shared" si="30"/>
        <v>15.4</v>
      </c>
      <c r="H22" s="22">
        <f t="shared" si="0"/>
        <v>44726.34676242245</v>
      </c>
      <c r="I22" s="22">
        <f t="shared" si="1"/>
        <v>72572.617347396663</v>
      </c>
      <c r="K22" s="54">
        <f t="shared" si="31"/>
        <v>176</v>
      </c>
      <c r="L22" s="14">
        <f t="shared" si="32"/>
        <v>3.0298114170770498</v>
      </c>
      <c r="M22" s="7">
        <f t="shared" si="33"/>
        <v>533.24680940556073</v>
      </c>
      <c r="O22" s="15">
        <f t="shared" si="34"/>
        <v>4</v>
      </c>
      <c r="P22" s="7">
        <f t="shared" si="7"/>
        <v>61.152157041922131</v>
      </c>
      <c r="Q22" s="7">
        <f t="shared" si="8"/>
        <v>244.60862816768852</v>
      </c>
      <c r="S22" s="15">
        <f t="shared" si="35"/>
        <v>2</v>
      </c>
      <c r="T22" s="7">
        <f t="shared" si="9"/>
        <v>61.152157041922131</v>
      </c>
      <c r="U22" s="7">
        <f t="shared" si="10"/>
        <v>122.30431408384426</v>
      </c>
      <c r="W22" s="14">
        <f t="shared" si="36"/>
        <v>8</v>
      </c>
      <c r="X22" s="7">
        <f t="shared" si="11"/>
        <v>183.45647112576643</v>
      </c>
      <c r="Y22" s="22">
        <f t="shared" si="12"/>
        <v>1467.6517690061314</v>
      </c>
      <c r="AA22" s="7">
        <f t="shared" si="13"/>
        <v>112.27769788458495</v>
      </c>
      <c r="AB22" s="7">
        <f t="shared" si="2"/>
        <v>1729.0765474226082</v>
      </c>
      <c r="AD22" s="7">
        <f t="shared" si="14"/>
        <v>15.4</v>
      </c>
      <c r="AE22" s="7">
        <f t="shared" si="15"/>
        <v>481.19013379107849</v>
      </c>
      <c r="AF22" s="22">
        <f t="shared" si="16"/>
        <v>7410.3280603826088</v>
      </c>
      <c r="AG22" s="7">
        <f t="shared" si="37"/>
        <v>32</v>
      </c>
      <c r="AH22" s="7">
        <f t="shared" si="17"/>
        <v>120.29753344776962</v>
      </c>
      <c r="AI22" s="22">
        <f t="shared" si="18"/>
        <v>3849.521070328628</v>
      </c>
      <c r="AJ22" s="22">
        <f t="shared" si="3"/>
        <v>11259.849130711236</v>
      </c>
      <c r="AL22" s="15">
        <f t="shared" si="38"/>
        <v>0.5</v>
      </c>
      <c r="AM22" s="7">
        <f t="shared" si="19"/>
        <v>155.51275145870719</v>
      </c>
      <c r="AN22" s="7">
        <f t="shared" si="20"/>
        <v>77.756375729353593</v>
      </c>
      <c r="AP22" s="7">
        <f t="shared" si="39"/>
        <v>36</v>
      </c>
      <c r="AQ22" s="7">
        <f t="shared" si="21"/>
        <v>36.089260034330849</v>
      </c>
      <c r="AR22" s="22">
        <f t="shared" si="22"/>
        <v>1299.2133612359105</v>
      </c>
      <c r="AS22" s="7">
        <f t="shared" si="40"/>
        <v>60</v>
      </c>
      <c r="AT22" s="7">
        <f t="shared" si="23"/>
        <v>36.089260034330849</v>
      </c>
      <c r="AU22" s="22">
        <f t="shared" si="24"/>
        <v>2165.3556020598508</v>
      </c>
      <c r="AV22" s="22">
        <f t="shared" si="25"/>
        <v>3464.568963295761</v>
      </c>
      <c r="AX22" s="7">
        <f t="shared" si="41"/>
        <v>231</v>
      </c>
      <c r="AY22" s="7">
        <f t="shared" si="26"/>
        <v>36.089260034330849</v>
      </c>
      <c r="AZ22" s="22">
        <f t="shared" si="42"/>
        <v>8336.6190679304254</v>
      </c>
      <c r="BB22" s="7">
        <f t="shared" si="27"/>
        <v>154</v>
      </c>
      <c r="BD22" s="22">
        <f t="shared" si="4"/>
        <v>27389.681605752608</v>
      </c>
      <c r="BF22" s="22">
        <f t="shared" si="5"/>
        <v>45182.935741644054</v>
      </c>
      <c r="BH22" s="15">
        <f t="shared" si="43"/>
        <v>5.5579270360005033</v>
      </c>
      <c r="BJ22" s="7">
        <f t="shared" si="46"/>
        <v>201.69532613432327</v>
      </c>
      <c r="BK22" s="7">
        <f t="shared" si="44"/>
        <v>227.44253657191632</v>
      </c>
      <c r="BL22" s="7">
        <f t="shared" si="44"/>
        <v>200.89688085777516</v>
      </c>
      <c r="BM22" s="7">
        <v>121.92751373638573</v>
      </c>
    </row>
    <row r="23" spans="1:65" x14ac:dyDescent="0.2">
      <c r="A23" s="8">
        <f t="shared" si="6"/>
        <v>2037</v>
      </c>
      <c r="B23" s="22">
        <f t="shared" si="47"/>
        <v>3494.9143520013477</v>
      </c>
      <c r="C23" s="22">
        <f t="shared" si="28"/>
        <v>4863.3078637995686</v>
      </c>
      <c r="E23" s="15">
        <f t="shared" ref="E23:E40" si="48">E22*((E$41/E$21)^(1/($A$41-$A$21)))</f>
        <v>12.751469735751613</v>
      </c>
      <c r="F23" s="15">
        <f t="shared" si="30"/>
        <v>15.4</v>
      </c>
      <c r="H23" s="22">
        <f t="shared" si="0"/>
        <v>44565.294588589146</v>
      </c>
      <c r="I23" s="22">
        <f t="shared" si="1"/>
        <v>74894.94110251336</v>
      </c>
      <c r="K23" s="54">
        <f t="shared" si="31"/>
        <v>176</v>
      </c>
      <c r="L23" s="14">
        <f t="shared" si="32"/>
        <v>2.980319914293001</v>
      </c>
      <c r="M23" s="7">
        <f t="shared" si="33"/>
        <v>524.53630491556817</v>
      </c>
      <c r="O23" s="15">
        <f t="shared" si="34"/>
        <v>4</v>
      </c>
      <c r="P23" s="7">
        <f t="shared" si="7"/>
        <v>60.153245976556008</v>
      </c>
      <c r="Q23" s="7">
        <f t="shared" si="8"/>
        <v>240.61298390622403</v>
      </c>
      <c r="S23" s="15">
        <f t="shared" si="35"/>
        <v>2</v>
      </c>
      <c r="T23" s="7">
        <f t="shared" si="9"/>
        <v>60.153245976556008</v>
      </c>
      <c r="U23" s="7">
        <f t="shared" si="10"/>
        <v>120.30649195311202</v>
      </c>
      <c r="W23" s="14">
        <f t="shared" si="36"/>
        <v>8</v>
      </c>
      <c r="X23" s="7">
        <f t="shared" si="11"/>
        <v>180.45973792966805</v>
      </c>
      <c r="Y23" s="22">
        <f t="shared" si="12"/>
        <v>1443.6779034373444</v>
      </c>
      <c r="AA23" s="7">
        <f t="shared" si="13"/>
        <v>115.87058421689167</v>
      </c>
      <c r="AB23" s="7">
        <f t="shared" si="2"/>
        <v>1784.4069969401319</v>
      </c>
      <c r="AD23" s="7">
        <f t="shared" si="14"/>
        <v>15.4</v>
      </c>
      <c r="AE23" s="7">
        <f t="shared" si="15"/>
        <v>496.58821807239303</v>
      </c>
      <c r="AF23" s="22">
        <f t="shared" si="16"/>
        <v>7647.4585583148528</v>
      </c>
      <c r="AG23" s="7">
        <f t="shared" si="37"/>
        <v>32</v>
      </c>
      <c r="AH23" s="7">
        <f t="shared" si="17"/>
        <v>124.14705451809826</v>
      </c>
      <c r="AI23" s="22">
        <f t="shared" si="18"/>
        <v>3972.7057445791443</v>
      </c>
      <c r="AJ23" s="22">
        <f t="shared" si="3"/>
        <v>11620.164302893998</v>
      </c>
      <c r="AL23" s="15">
        <f t="shared" si="38"/>
        <v>0.5</v>
      </c>
      <c r="AM23" s="7">
        <f t="shared" si="19"/>
        <v>160.4891595053858</v>
      </c>
      <c r="AN23" s="7">
        <f t="shared" si="20"/>
        <v>80.2445797526929</v>
      </c>
      <c r="AP23" s="7">
        <f t="shared" si="39"/>
        <v>36</v>
      </c>
      <c r="AQ23" s="7">
        <f t="shared" si="21"/>
        <v>37.244116355429433</v>
      </c>
      <c r="AR23" s="22">
        <f t="shared" si="22"/>
        <v>1340.7881887954595</v>
      </c>
      <c r="AS23" s="7">
        <f t="shared" si="40"/>
        <v>60</v>
      </c>
      <c r="AT23" s="7">
        <f t="shared" si="23"/>
        <v>37.244116355429433</v>
      </c>
      <c r="AU23" s="22">
        <f t="shared" si="24"/>
        <v>2234.6469813257659</v>
      </c>
      <c r="AV23" s="22">
        <f t="shared" si="25"/>
        <v>3575.4351701212254</v>
      </c>
      <c r="AX23" s="7">
        <f t="shared" si="41"/>
        <v>231</v>
      </c>
      <c r="AY23" s="7">
        <f t="shared" si="26"/>
        <v>37.244116355429433</v>
      </c>
      <c r="AZ23" s="22">
        <f t="shared" si="42"/>
        <v>8603.3908781041991</v>
      </c>
      <c r="BB23" s="7">
        <f t="shared" si="27"/>
        <v>154</v>
      </c>
      <c r="BD23" s="22">
        <f t="shared" si="4"/>
        <v>28146.775612024496</v>
      </c>
      <c r="BF23" s="22">
        <f t="shared" si="5"/>
        <v>46748.165490488864</v>
      </c>
      <c r="BH23" s="15">
        <f t="shared" si="43"/>
        <v>5.5333507165946383</v>
      </c>
      <c r="BJ23" s="7">
        <f t="shared" si="46"/>
        <v>208.1495765706216</v>
      </c>
      <c r="BK23" s="7">
        <f t="shared" si="44"/>
        <v>234.72069774221765</v>
      </c>
      <c r="BL23" s="7">
        <f t="shared" si="44"/>
        <v>207.32558104522397</v>
      </c>
      <c r="BM23" s="7">
        <v>119.93584658128668</v>
      </c>
    </row>
    <row r="24" spans="1:65" x14ac:dyDescent="0.2">
      <c r="A24" s="8">
        <f t="shared" si="6"/>
        <v>2038</v>
      </c>
      <c r="B24" s="22">
        <f t="shared" si="47"/>
        <v>3494.9143520013477</v>
      </c>
      <c r="C24" s="22">
        <f t="shared" si="28"/>
        <v>5018.9337154411542</v>
      </c>
      <c r="E24" s="15">
        <f t="shared" si="48"/>
        <v>12.705553803215896</v>
      </c>
      <c r="F24" s="15">
        <f t="shared" si="30"/>
        <v>15.4</v>
      </c>
      <c r="H24" s="22">
        <f t="shared" si="0"/>
        <v>44404.822336984544</v>
      </c>
      <c r="I24" s="22">
        <f t="shared" si="1"/>
        <v>77291.579217793769</v>
      </c>
      <c r="K24" s="54">
        <f t="shared" si="31"/>
        <v>176</v>
      </c>
      <c r="L24" s="14">
        <f t="shared" si="32"/>
        <v>2.9466102325589238</v>
      </c>
      <c r="M24" s="7">
        <f t="shared" si="33"/>
        <v>518.60340093037064</v>
      </c>
      <c r="O24" s="15">
        <f t="shared" si="34"/>
        <v>4</v>
      </c>
      <c r="P24" s="7">
        <f t="shared" si="7"/>
        <v>59.472867079170953</v>
      </c>
      <c r="Q24" s="7">
        <f t="shared" si="8"/>
        <v>237.89146831668381</v>
      </c>
      <c r="S24" s="15">
        <f t="shared" si="35"/>
        <v>2</v>
      </c>
      <c r="T24" s="7">
        <f t="shared" si="9"/>
        <v>59.472867079170953</v>
      </c>
      <c r="U24" s="7">
        <f t="shared" si="10"/>
        <v>118.94573415834191</v>
      </c>
      <c r="W24" s="14">
        <f t="shared" si="36"/>
        <v>8</v>
      </c>
      <c r="X24" s="7">
        <f t="shared" si="11"/>
        <v>178.41860123751292</v>
      </c>
      <c r="Y24" s="22">
        <f t="shared" si="12"/>
        <v>1427.3488099001033</v>
      </c>
      <c r="AA24" s="7">
        <f t="shared" si="13"/>
        <v>119.57844291183221</v>
      </c>
      <c r="AB24" s="7">
        <f t="shared" si="2"/>
        <v>1841.5080208422162</v>
      </c>
      <c r="AD24" s="7">
        <f t="shared" si="14"/>
        <v>15.4</v>
      </c>
      <c r="AE24" s="7">
        <f t="shared" si="15"/>
        <v>512.47904105070961</v>
      </c>
      <c r="AF24" s="22">
        <f t="shared" si="16"/>
        <v>7892.1772321809285</v>
      </c>
      <c r="AG24" s="7">
        <f t="shared" si="37"/>
        <v>32</v>
      </c>
      <c r="AH24" s="7">
        <f t="shared" si="17"/>
        <v>128.1197602626774</v>
      </c>
      <c r="AI24" s="22">
        <f t="shared" si="18"/>
        <v>4099.8323284056769</v>
      </c>
      <c r="AJ24" s="22">
        <f t="shared" si="3"/>
        <v>11992.009560586604</v>
      </c>
      <c r="AL24" s="15">
        <f t="shared" si="38"/>
        <v>0.5</v>
      </c>
      <c r="AM24" s="7">
        <f t="shared" si="19"/>
        <v>165.62481260955815</v>
      </c>
      <c r="AN24" s="7">
        <f t="shared" si="20"/>
        <v>82.812406304779074</v>
      </c>
      <c r="AP24" s="7">
        <f t="shared" si="39"/>
        <v>36</v>
      </c>
      <c r="AQ24" s="7">
        <f t="shared" si="21"/>
        <v>38.435928078803173</v>
      </c>
      <c r="AR24" s="22">
        <f t="shared" si="22"/>
        <v>1383.6934108369142</v>
      </c>
      <c r="AS24" s="7">
        <f t="shared" si="40"/>
        <v>60</v>
      </c>
      <c r="AT24" s="7">
        <f t="shared" si="23"/>
        <v>38.435928078803173</v>
      </c>
      <c r="AU24" s="22">
        <f t="shared" si="24"/>
        <v>2306.1556847281904</v>
      </c>
      <c r="AV24" s="22">
        <f t="shared" si="25"/>
        <v>3689.8490955651046</v>
      </c>
      <c r="AX24" s="7">
        <f t="shared" si="41"/>
        <v>231</v>
      </c>
      <c r="AY24" s="7">
        <f t="shared" si="26"/>
        <v>38.435928078803173</v>
      </c>
      <c r="AZ24" s="22">
        <f t="shared" si="42"/>
        <v>8878.6993862035324</v>
      </c>
      <c r="BB24" s="7">
        <f t="shared" si="27"/>
        <v>154</v>
      </c>
      <c r="BD24" s="22">
        <f t="shared" si="4"/>
        <v>28941.667882807735</v>
      </c>
      <c r="BF24" s="22">
        <f t="shared" si="5"/>
        <v>48349.911334986034</v>
      </c>
      <c r="BH24" s="15">
        <f t="shared" si="43"/>
        <v>5.5123161799210019</v>
      </c>
      <c r="BJ24" s="7">
        <f t="shared" si="46"/>
        <v>214.81036302088148</v>
      </c>
      <c r="BK24" s="7">
        <f t="shared" si="44"/>
        <v>242.23176006996863</v>
      </c>
      <c r="BL24" s="7">
        <f t="shared" si="44"/>
        <v>213.95999963867115</v>
      </c>
      <c r="BM24" s="7">
        <v>118.57928106717092</v>
      </c>
    </row>
    <row r="25" spans="1:65" x14ac:dyDescent="0.2">
      <c r="A25" s="8">
        <f t="shared" si="6"/>
        <v>2039</v>
      </c>
      <c r="B25" s="22">
        <f t="shared" si="47"/>
        <v>3494.9143520013477</v>
      </c>
      <c r="C25" s="22">
        <f t="shared" si="28"/>
        <v>5179.5395943352714</v>
      </c>
      <c r="E25" s="15">
        <f t="shared" si="48"/>
        <v>12.659803206355541</v>
      </c>
      <c r="F25" s="15">
        <f t="shared" si="30"/>
        <v>15.4</v>
      </c>
      <c r="H25" s="22">
        <f t="shared" si="0"/>
        <v>44244.927919404661</v>
      </c>
      <c r="I25" s="22">
        <f t="shared" si="1"/>
        <v>79764.909752763182</v>
      </c>
      <c r="K25" s="54">
        <f t="shared" si="31"/>
        <v>176</v>
      </c>
      <c r="L25" s="14">
        <f t="shared" si="32"/>
        <v>2.9231348033700266</v>
      </c>
      <c r="M25" s="7">
        <f t="shared" si="33"/>
        <v>514.47172539312464</v>
      </c>
      <c r="O25" s="15">
        <f t="shared" si="34"/>
        <v>4</v>
      </c>
      <c r="P25" s="7">
        <f t="shared" si="7"/>
        <v>58.999051077193208</v>
      </c>
      <c r="Q25" s="7">
        <f t="shared" si="8"/>
        <v>235.99620430877283</v>
      </c>
      <c r="S25" s="15">
        <f t="shared" si="35"/>
        <v>2</v>
      </c>
      <c r="T25" s="7">
        <f t="shared" si="9"/>
        <v>58.999051077193208</v>
      </c>
      <c r="U25" s="7">
        <f t="shared" si="10"/>
        <v>117.99810215438642</v>
      </c>
      <c r="W25" s="14">
        <f t="shared" si="36"/>
        <v>8</v>
      </c>
      <c r="X25" s="7">
        <f t="shared" si="11"/>
        <v>176.99715323157969</v>
      </c>
      <c r="Y25" s="22">
        <f t="shared" si="12"/>
        <v>1415.9772258526375</v>
      </c>
      <c r="AA25" s="7">
        <f t="shared" si="13"/>
        <v>123.40495308501085</v>
      </c>
      <c r="AB25" s="7">
        <f t="shared" si="2"/>
        <v>1900.436277509167</v>
      </c>
      <c r="AD25" s="7">
        <f t="shared" si="14"/>
        <v>15.4</v>
      </c>
      <c r="AE25" s="7">
        <f t="shared" si="15"/>
        <v>528.87837036433234</v>
      </c>
      <c r="AF25" s="22">
        <f t="shared" si="16"/>
        <v>8144.7269036107182</v>
      </c>
      <c r="AG25" s="7">
        <f t="shared" si="37"/>
        <v>32</v>
      </c>
      <c r="AH25" s="7">
        <f t="shared" si="17"/>
        <v>132.21959259108309</v>
      </c>
      <c r="AI25" s="22">
        <f t="shared" si="18"/>
        <v>4231.0269629146587</v>
      </c>
      <c r="AJ25" s="22">
        <f t="shared" si="3"/>
        <v>12375.753866525378</v>
      </c>
      <c r="AL25" s="15">
        <f t="shared" si="38"/>
        <v>0.5</v>
      </c>
      <c r="AM25" s="7">
        <f t="shared" si="19"/>
        <v>170.92480661306402</v>
      </c>
      <c r="AN25" s="7">
        <f t="shared" si="20"/>
        <v>85.462403306532011</v>
      </c>
      <c r="AP25" s="7">
        <f t="shared" si="39"/>
        <v>36</v>
      </c>
      <c r="AQ25" s="7">
        <f t="shared" si="21"/>
        <v>39.665877777324873</v>
      </c>
      <c r="AR25" s="22">
        <f t="shared" si="22"/>
        <v>1427.9715999836953</v>
      </c>
      <c r="AS25" s="7">
        <f t="shared" si="40"/>
        <v>60</v>
      </c>
      <c r="AT25" s="7">
        <f t="shared" si="23"/>
        <v>39.665877777324873</v>
      </c>
      <c r="AU25" s="22">
        <f t="shared" si="24"/>
        <v>2379.9526666394922</v>
      </c>
      <c r="AV25" s="22">
        <f t="shared" si="25"/>
        <v>3807.9242666231876</v>
      </c>
      <c r="AX25" s="7">
        <f t="shared" si="41"/>
        <v>231</v>
      </c>
      <c r="AY25" s="7">
        <f t="shared" si="26"/>
        <v>39.665877777324873</v>
      </c>
      <c r="AZ25" s="22">
        <f t="shared" si="42"/>
        <v>9162.817766562046</v>
      </c>
      <c r="BB25" s="7">
        <f t="shared" si="27"/>
        <v>154</v>
      </c>
      <c r="BD25" s="22">
        <f t="shared" si="4"/>
        <v>29770.837838235235</v>
      </c>
      <c r="BF25" s="22">
        <f t="shared" si="5"/>
        <v>49994.071914527944</v>
      </c>
      <c r="BH25" s="15">
        <f t="shared" si="43"/>
        <v>5.4936891741421441</v>
      </c>
      <c r="BJ25" s="7">
        <f t="shared" si="46"/>
        <v>221.6842946375497</v>
      </c>
      <c r="BK25" s="7">
        <f t="shared" si="46"/>
        <v>249.98317639220764</v>
      </c>
      <c r="BL25" s="7">
        <f t="shared" si="46"/>
        <v>220.80671962710863</v>
      </c>
      <c r="BM25" s="7">
        <v>117.63456856831245</v>
      </c>
    </row>
    <row r="26" spans="1:65" x14ac:dyDescent="0.2">
      <c r="A26" s="8">
        <f t="shared" si="6"/>
        <v>2040</v>
      </c>
      <c r="B26" s="22">
        <f t="shared" si="47"/>
        <v>3494.9143520013477</v>
      </c>
      <c r="C26" s="22">
        <f t="shared" si="28"/>
        <v>5345.284861354</v>
      </c>
      <c r="E26" s="15">
        <f t="shared" si="48"/>
        <v>12.614217349824141</v>
      </c>
      <c r="F26" s="15">
        <f t="shared" si="30"/>
        <v>15.4</v>
      </c>
      <c r="H26" s="22">
        <f t="shared" si="0"/>
        <v>44085.609255164796</v>
      </c>
      <c r="I26" s="22">
        <f t="shared" si="1"/>
        <v>82317.386864851607</v>
      </c>
      <c r="K26" s="54">
        <f t="shared" si="31"/>
        <v>176</v>
      </c>
      <c r="L26" s="14">
        <f t="shared" si="32"/>
        <v>2.9147167772355638</v>
      </c>
      <c r="M26" s="7">
        <f t="shared" si="33"/>
        <v>512.99015279345917</v>
      </c>
      <c r="O26" s="15">
        <f t="shared" si="34"/>
        <v>4</v>
      </c>
      <c r="P26" s="7">
        <f t="shared" si="7"/>
        <v>58.829145962552666</v>
      </c>
      <c r="Q26" s="7">
        <f t="shared" si="8"/>
        <v>235.31658385021066</v>
      </c>
      <c r="S26" s="15">
        <f t="shared" si="35"/>
        <v>2</v>
      </c>
      <c r="T26" s="7">
        <f t="shared" si="9"/>
        <v>58.829145962552666</v>
      </c>
      <c r="U26" s="7">
        <f t="shared" si="10"/>
        <v>117.65829192510533</v>
      </c>
      <c r="W26" s="14">
        <f t="shared" si="36"/>
        <v>8</v>
      </c>
      <c r="X26" s="7">
        <f t="shared" si="11"/>
        <v>176.48743788765807</v>
      </c>
      <c r="Y26" s="22">
        <f t="shared" si="12"/>
        <v>1411.8995031012646</v>
      </c>
      <c r="AA26" s="7">
        <f t="shared" si="13"/>
        <v>127.35391158373119</v>
      </c>
      <c r="AB26" s="7">
        <f t="shared" si="2"/>
        <v>1961.2502383894603</v>
      </c>
      <c r="AD26" s="7">
        <f t="shared" si="14"/>
        <v>15.4</v>
      </c>
      <c r="AE26" s="7">
        <f t="shared" si="15"/>
        <v>545.80247821599096</v>
      </c>
      <c r="AF26" s="22">
        <f t="shared" si="16"/>
        <v>8405.3581645262602</v>
      </c>
      <c r="AG26" s="7">
        <f t="shared" si="37"/>
        <v>32</v>
      </c>
      <c r="AH26" s="7">
        <f t="shared" si="17"/>
        <v>136.45061955399774</v>
      </c>
      <c r="AI26" s="22">
        <f t="shared" si="18"/>
        <v>4366.4198257279277</v>
      </c>
      <c r="AJ26" s="22">
        <f t="shared" si="3"/>
        <v>12771.777990254188</v>
      </c>
      <c r="AL26" s="15">
        <f t="shared" si="38"/>
        <v>0.5</v>
      </c>
      <c r="AM26" s="7">
        <f t="shared" si="19"/>
        <v>176.39440042468206</v>
      </c>
      <c r="AN26" s="7">
        <f t="shared" si="20"/>
        <v>88.197200212341031</v>
      </c>
      <c r="AP26" s="7">
        <f t="shared" si="39"/>
        <v>36</v>
      </c>
      <c r="AQ26" s="7">
        <f t="shared" si="21"/>
        <v>40.935185866199269</v>
      </c>
      <c r="AR26" s="22">
        <f t="shared" si="22"/>
        <v>1473.6666911831737</v>
      </c>
      <c r="AS26" s="7">
        <f t="shared" si="40"/>
        <v>60</v>
      </c>
      <c r="AT26" s="7">
        <f t="shared" si="23"/>
        <v>40.935185866199269</v>
      </c>
      <c r="AU26" s="22">
        <f t="shared" si="24"/>
        <v>2456.1111519719561</v>
      </c>
      <c r="AV26" s="22">
        <f t="shared" si="25"/>
        <v>3929.7778431551296</v>
      </c>
      <c r="AX26" s="7">
        <f t="shared" si="41"/>
        <v>231</v>
      </c>
      <c r="AY26" s="7">
        <f t="shared" si="26"/>
        <v>40.935185866199269</v>
      </c>
      <c r="AZ26" s="22">
        <f t="shared" si="42"/>
        <v>9456.0279350920318</v>
      </c>
      <c r="BB26" s="7">
        <f t="shared" si="27"/>
        <v>154</v>
      </c>
      <c r="BD26" s="22">
        <f t="shared" si="4"/>
        <v>30638.89573877319</v>
      </c>
      <c r="BF26" s="22">
        <f t="shared" si="5"/>
        <v>51678.491126078414</v>
      </c>
      <c r="BH26" s="15">
        <f t="shared" si="43"/>
        <v>5.4780149334690522</v>
      </c>
      <c r="BJ26" s="7">
        <f t="shared" si="46"/>
        <v>228.77819206595129</v>
      </c>
      <c r="BK26" s="7">
        <f t="shared" si="46"/>
        <v>257.98263803675826</v>
      </c>
      <c r="BL26" s="7">
        <f t="shared" si="46"/>
        <v>227.87253465517611</v>
      </c>
      <c r="BM26" s="7">
        <v>117.29580524087962</v>
      </c>
    </row>
    <row r="27" spans="1:65" x14ac:dyDescent="0.2">
      <c r="A27" s="8">
        <f t="shared" si="6"/>
        <v>2041</v>
      </c>
      <c r="B27" s="22">
        <f t="shared" si="47"/>
        <v>3494.9143520013477</v>
      </c>
      <c r="C27" s="22">
        <f t="shared" si="28"/>
        <v>5516.3339769173281</v>
      </c>
      <c r="E27" s="15">
        <f t="shared" si="48"/>
        <v>12.56879564041903</v>
      </c>
      <c r="F27" s="15">
        <f t="shared" si="30"/>
        <v>15.4</v>
      </c>
      <c r="H27" s="22">
        <f t="shared" si="0"/>
        <v>43926.864271072438</v>
      </c>
      <c r="I27" s="22">
        <f t="shared" si="1"/>
        <v>84951.543244526853</v>
      </c>
      <c r="K27" s="54">
        <f t="shared" si="31"/>
        <v>176</v>
      </c>
      <c r="L27" s="14">
        <f t="shared" si="32"/>
        <v>2.9167819277025457</v>
      </c>
      <c r="M27" s="7">
        <f t="shared" si="33"/>
        <v>513.35361927564804</v>
      </c>
      <c r="O27" s="15">
        <f t="shared" si="34"/>
        <v>4</v>
      </c>
      <c r="P27" s="7">
        <f t="shared" si="7"/>
        <v>58.870827898583499</v>
      </c>
      <c r="Q27" s="7">
        <f t="shared" si="8"/>
        <v>235.483311594334</v>
      </c>
      <c r="S27" s="15">
        <f t="shared" si="35"/>
        <v>2</v>
      </c>
      <c r="T27" s="7">
        <f t="shared" si="9"/>
        <v>58.870827898583499</v>
      </c>
      <c r="U27" s="7">
        <f t="shared" si="10"/>
        <v>117.741655797167</v>
      </c>
      <c r="W27" s="14">
        <f t="shared" si="36"/>
        <v>8</v>
      </c>
      <c r="X27" s="7">
        <f t="shared" si="11"/>
        <v>176.61248369575057</v>
      </c>
      <c r="Y27" s="22">
        <f t="shared" si="12"/>
        <v>1412.8998695660046</v>
      </c>
      <c r="AA27" s="7">
        <f t="shared" si="13"/>
        <v>131.4292367544106</v>
      </c>
      <c r="AB27" s="7">
        <f t="shared" si="2"/>
        <v>2024.0102460179232</v>
      </c>
      <c r="AD27" s="7">
        <f t="shared" si="14"/>
        <v>15.4</v>
      </c>
      <c r="AE27" s="7">
        <f t="shared" si="15"/>
        <v>563.26815751890274</v>
      </c>
      <c r="AF27" s="22">
        <f t="shared" si="16"/>
        <v>8674.3296257911024</v>
      </c>
      <c r="AG27" s="7">
        <f t="shared" si="37"/>
        <v>32</v>
      </c>
      <c r="AH27" s="7">
        <f t="shared" si="17"/>
        <v>140.81703937972568</v>
      </c>
      <c r="AI27" s="22">
        <f t="shared" si="18"/>
        <v>4506.1452601512219</v>
      </c>
      <c r="AJ27" s="22">
        <f t="shared" si="3"/>
        <v>13180.474885942323</v>
      </c>
      <c r="AL27" s="15">
        <f t="shared" si="38"/>
        <v>0.5</v>
      </c>
      <c r="AM27" s="7">
        <f t="shared" si="19"/>
        <v>182.03902123827189</v>
      </c>
      <c r="AN27" s="7">
        <f t="shared" si="20"/>
        <v>91.019510619135943</v>
      </c>
      <c r="AP27" s="7">
        <f t="shared" si="39"/>
        <v>36</v>
      </c>
      <c r="AQ27" s="7">
        <f t="shared" si="21"/>
        <v>42.245111813917646</v>
      </c>
      <c r="AR27" s="22">
        <f t="shared" si="22"/>
        <v>1520.8240253010354</v>
      </c>
      <c r="AS27" s="7">
        <f t="shared" si="40"/>
        <v>60</v>
      </c>
      <c r="AT27" s="7">
        <f t="shared" si="23"/>
        <v>42.245111813917646</v>
      </c>
      <c r="AU27" s="22">
        <f t="shared" si="24"/>
        <v>2534.7067088350586</v>
      </c>
      <c r="AV27" s="22">
        <f t="shared" si="25"/>
        <v>4055.530734136094</v>
      </c>
      <c r="AX27" s="7">
        <f t="shared" si="41"/>
        <v>231</v>
      </c>
      <c r="AY27" s="7">
        <f t="shared" si="26"/>
        <v>42.245111813917646</v>
      </c>
      <c r="AZ27" s="22">
        <f t="shared" si="42"/>
        <v>9758.6208290149771</v>
      </c>
      <c r="BB27" s="7">
        <f t="shared" si="27"/>
        <v>154</v>
      </c>
      <c r="BD27" s="22">
        <f t="shared" si="4"/>
        <v>31543.134661963606</v>
      </c>
      <c r="BF27" s="22">
        <f t="shared" si="5"/>
        <v>53408.40858256325</v>
      </c>
      <c r="BH27" s="15">
        <f t="shared" si="43"/>
        <v>5.4643924363749408</v>
      </c>
      <c r="BJ27" s="7">
        <f t="shared" ref="BJ27:BL41" si="49">+BJ26+(BJ26*0.032)</f>
        <v>236.09909421206174</v>
      </c>
      <c r="BK27" s="7">
        <f t="shared" si="49"/>
        <v>266.23808245393451</v>
      </c>
      <c r="BL27" s="7">
        <f t="shared" si="49"/>
        <v>235.16445576414174</v>
      </c>
      <c r="BM27" s="7">
        <v>117.37891228196852</v>
      </c>
    </row>
    <row r="28" spans="1:65" x14ac:dyDescent="0.2">
      <c r="A28" s="8">
        <f t="shared" si="6"/>
        <v>2042</v>
      </c>
      <c r="B28" s="22">
        <f t="shared" si="47"/>
        <v>3494.9143520013477</v>
      </c>
      <c r="C28" s="22">
        <f t="shared" si="28"/>
        <v>5692.8566641786829</v>
      </c>
      <c r="E28" s="15">
        <f t="shared" si="48"/>
        <v>12.523537487073567</v>
      </c>
      <c r="F28" s="15">
        <f t="shared" si="30"/>
        <v>15.4</v>
      </c>
      <c r="H28" s="22">
        <f t="shared" si="0"/>
        <v>43768.690901400296</v>
      </c>
      <c r="I28" s="22">
        <f t="shared" si="1"/>
        <v>87669.992628351712</v>
      </c>
      <c r="K28" s="54">
        <f t="shared" si="31"/>
        <v>176</v>
      </c>
      <c r="L28" s="14">
        <f t="shared" si="32"/>
        <v>2.9317160437529668</v>
      </c>
      <c r="M28" s="7">
        <f t="shared" si="33"/>
        <v>515.98202370052218</v>
      </c>
      <c r="O28" s="15">
        <f t="shared" si="34"/>
        <v>4</v>
      </c>
      <c r="P28" s="7">
        <f t="shared" si="7"/>
        <v>59.172250424371818</v>
      </c>
      <c r="Q28" s="7">
        <f t="shared" si="8"/>
        <v>236.68900169748727</v>
      </c>
      <c r="S28" s="15">
        <f t="shared" si="35"/>
        <v>2</v>
      </c>
      <c r="T28" s="7">
        <f t="shared" si="9"/>
        <v>59.172250424371818</v>
      </c>
      <c r="U28" s="7">
        <f t="shared" si="10"/>
        <v>118.34450084874364</v>
      </c>
      <c r="W28" s="14">
        <f t="shared" si="36"/>
        <v>8</v>
      </c>
      <c r="X28" s="7">
        <f t="shared" si="11"/>
        <v>177.51675127311555</v>
      </c>
      <c r="Y28" s="22">
        <f t="shared" si="12"/>
        <v>1420.1340101849244</v>
      </c>
      <c r="AA28" s="7">
        <f t="shared" si="13"/>
        <v>135.63497233055173</v>
      </c>
      <c r="AB28" s="7">
        <f t="shared" si="2"/>
        <v>2088.7785738904968</v>
      </c>
      <c r="AD28" s="7">
        <f t="shared" si="14"/>
        <v>15.4</v>
      </c>
      <c r="AE28" s="7">
        <f t="shared" si="15"/>
        <v>581.2927385595076</v>
      </c>
      <c r="AF28" s="22">
        <f t="shared" si="16"/>
        <v>8951.9081738164168</v>
      </c>
      <c r="AG28" s="7">
        <f t="shared" si="37"/>
        <v>32</v>
      </c>
      <c r="AH28" s="7">
        <f t="shared" si="17"/>
        <v>145.3231846398769</v>
      </c>
      <c r="AI28" s="22">
        <f t="shared" si="18"/>
        <v>4650.3419084760608</v>
      </c>
      <c r="AJ28" s="22">
        <f t="shared" ref="AJ28:AJ41" si="50">+AF28+AI28</f>
        <v>13602.250082292478</v>
      </c>
      <c r="AL28" s="15">
        <f t="shared" si="38"/>
        <v>0.5</v>
      </c>
      <c r="AM28" s="7">
        <f t="shared" si="19"/>
        <v>187.86426991789659</v>
      </c>
      <c r="AN28" s="7">
        <f t="shared" si="20"/>
        <v>93.932134958948296</v>
      </c>
      <c r="AP28" s="7">
        <f t="shared" si="39"/>
        <v>36</v>
      </c>
      <c r="AQ28" s="7">
        <f t="shared" si="21"/>
        <v>43.596955391963007</v>
      </c>
      <c r="AR28" s="22">
        <f t="shared" si="22"/>
        <v>1569.4903941106681</v>
      </c>
      <c r="AS28" s="7">
        <f t="shared" si="40"/>
        <v>60</v>
      </c>
      <c r="AT28" s="7">
        <f t="shared" si="23"/>
        <v>43.596955391963007</v>
      </c>
      <c r="AU28" s="22">
        <f t="shared" si="24"/>
        <v>2615.8173235177806</v>
      </c>
      <c r="AV28" s="22">
        <f t="shared" si="25"/>
        <v>4185.3077176284487</v>
      </c>
      <c r="AX28" s="7">
        <f t="shared" si="41"/>
        <v>231</v>
      </c>
      <c r="AY28" s="7">
        <f t="shared" si="26"/>
        <v>43.596955391963007</v>
      </c>
      <c r="AZ28" s="22">
        <f t="shared" si="42"/>
        <v>10070.896695543455</v>
      </c>
      <c r="BB28" s="7">
        <f t="shared" si="27"/>
        <v>154</v>
      </c>
      <c r="BD28" s="22">
        <f t="shared" si="4"/>
        <v>32486.314740745504</v>
      </c>
      <c r="BF28" s="22">
        <f t="shared" si="5"/>
        <v>55183.677887606209</v>
      </c>
      <c r="BH28" s="15">
        <f t="shared" si="43"/>
        <v>5.4529980673702854</v>
      </c>
      <c r="BJ28" s="7">
        <f t="shared" si="49"/>
        <v>243.65426522684771</v>
      </c>
      <c r="BK28" s="7">
        <f t="shared" si="49"/>
        <v>274.75770109246042</v>
      </c>
      <c r="BL28" s="7">
        <f t="shared" si="49"/>
        <v>242.68971834859428</v>
      </c>
      <c r="BM28" s="7">
        <v>117.9799000627972</v>
      </c>
    </row>
    <row r="29" spans="1:65" x14ac:dyDescent="0.2">
      <c r="A29" s="8">
        <f t="shared" si="6"/>
        <v>2043</v>
      </c>
      <c r="B29" s="22">
        <f t="shared" si="47"/>
        <v>3494.9143520013477</v>
      </c>
      <c r="C29" s="22">
        <f t="shared" si="28"/>
        <v>5875.028077432401</v>
      </c>
      <c r="E29" s="15">
        <f t="shared" si="48"/>
        <v>12.478442300849444</v>
      </c>
      <c r="F29" s="15">
        <f t="shared" si="30"/>
        <v>15.4</v>
      </c>
      <c r="H29" s="22">
        <f t="shared" si="0"/>
        <v>43611.087087859443</v>
      </c>
      <c r="I29" s="22">
        <f t="shared" si="1"/>
        <v>90475.432392458984</v>
      </c>
      <c r="K29" s="54">
        <f t="shared" si="31"/>
        <v>176</v>
      </c>
      <c r="L29" s="14">
        <f t="shared" si="32"/>
        <v>2.955560521305423</v>
      </c>
      <c r="M29" s="7">
        <f t="shared" si="33"/>
        <v>520.17865174975441</v>
      </c>
      <c r="O29" s="15">
        <f t="shared" si="34"/>
        <v>4</v>
      </c>
      <c r="P29" s="7">
        <f t="shared" si="7"/>
        <v>59.653515108916807</v>
      </c>
      <c r="Q29" s="7">
        <f t="shared" si="8"/>
        <v>238.61406043566723</v>
      </c>
      <c r="S29" s="15">
        <f t="shared" si="35"/>
        <v>2</v>
      </c>
      <c r="T29" s="7">
        <f t="shared" si="9"/>
        <v>59.653515108916807</v>
      </c>
      <c r="U29" s="7">
        <f t="shared" si="10"/>
        <v>119.30703021783361</v>
      </c>
      <c r="W29" s="14">
        <f t="shared" si="36"/>
        <v>8</v>
      </c>
      <c r="X29" s="7">
        <f t="shared" si="11"/>
        <v>178.96054532675052</v>
      </c>
      <c r="Y29" s="22">
        <f t="shared" si="12"/>
        <v>1431.6843626140042</v>
      </c>
      <c r="AA29" s="7">
        <f t="shared" si="13"/>
        <v>139.97529144512939</v>
      </c>
      <c r="AB29" s="7">
        <f t="shared" si="2"/>
        <v>2155.6194882549926</v>
      </c>
      <c r="AD29" s="7">
        <f t="shared" si="14"/>
        <v>15.4</v>
      </c>
      <c r="AE29" s="7">
        <f t="shared" si="15"/>
        <v>599.89410619341186</v>
      </c>
      <c r="AF29" s="22">
        <f t="shared" si="16"/>
        <v>9238.3692353785427</v>
      </c>
      <c r="AG29" s="7">
        <f t="shared" si="37"/>
        <v>32</v>
      </c>
      <c r="AH29" s="7">
        <f t="shared" si="17"/>
        <v>149.97352654835296</v>
      </c>
      <c r="AI29" s="22">
        <f t="shared" si="18"/>
        <v>4799.1528495472949</v>
      </c>
      <c r="AJ29" s="22">
        <f t="shared" si="50"/>
        <v>14037.522084925837</v>
      </c>
      <c r="AL29" s="15">
        <f t="shared" si="38"/>
        <v>0.5</v>
      </c>
      <c r="AM29" s="7">
        <f t="shared" si="19"/>
        <v>193.8759265552693</v>
      </c>
      <c r="AN29" s="7">
        <f t="shared" si="20"/>
        <v>96.937963277634651</v>
      </c>
      <c r="AP29" s="7">
        <f t="shared" si="39"/>
        <v>36</v>
      </c>
      <c r="AQ29" s="7">
        <f t="shared" si="21"/>
        <v>44.992057964505818</v>
      </c>
      <c r="AR29" s="22">
        <f t="shared" si="22"/>
        <v>1619.7140867222095</v>
      </c>
      <c r="AS29" s="7">
        <f t="shared" si="40"/>
        <v>60</v>
      </c>
      <c r="AT29" s="7">
        <f t="shared" si="23"/>
        <v>44.992057964505818</v>
      </c>
      <c r="AU29" s="22">
        <f t="shared" si="24"/>
        <v>2699.5234778703489</v>
      </c>
      <c r="AV29" s="22">
        <f t="shared" si="25"/>
        <v>4319.2375645925586</v>
      </c>
      <c r="AX29" s="7">
        <f t="shared" si="41"/>
        <v>231</v>
      </c>
      <c r="AY29" s="7">
        <f t="shared" si="26"/>
        <v>44.992057964505818</v>
      </c>
      <c r="AZ29" s="22">
        <f t="shared" si="42"/>
        <v>10393.165389800844</v>
      </c>
      <c r="BB29" s="7">
        <f t="shared" si="27"/>
        <v>154</v>
      </c>
      <c r="BD29" s="22">
        <f t="shared" si="4"/>
        <v>33466.266595869129</v>
      </c>
      <c r="BF29" s="22">
        <f t="shared" si="5"/>
        <v>57009.165796589856</v>
      </c>
      <c r="BH29" s="15">
        <f t="shared" si="43"/>
        <v>5.443109676396932</v>
      </c>
      <c r="BJ29" s="7">
        <f t="shared" si="49"/>
        <v>251.45120171410684</v>
      </c>
      <c r="BK29" s="7">
        <f t="shared" si="49"/>
        <v>283.54994752741914</v>
      </c>
      <c r="BL29" s="7">
        <f t="shared" si="49"/>
        <v>250.4557893357493</v>
      </c>
      <c r="BM29" s="7">
        <v>118.93946403035226</v>
      </c>
    </row>
    <row r="30" spans="1:65" x14ac:dyDescent="0.2">
      <c r="A30" s="8">
        <f t="shared" si="6"/>
        <v>2044</v>
      </c>
      <c r="B30" s="22">
        <f t="shared" si="47"/>
        <v>3494.9143520013477</v>
      </c>
      <c r="C30" s="22">
        <f t="shared" si="28"/>
        <v>6063.0289759102379</v>
      </c>
      <c r="E30" s="15">
        <f t="shared" si="48"/>
        <v>12.433509494929025</v>
      </c>
      <c r="F30" s="15">
        <f t="shared" si="30"/>
        <v>15.4</v>
      </c>
      <c r="H30" s="22">
        <f t="shared" si="0"/>
        <v>43454.050779572477</v>
      </c>
      <c r="I30" s="22">
        <f t="shared" si="1"/>
        <v>93370.646229017671</v>
      </c>
      <c r="K30" s="54">
        <f t="shared" si="31"/>
        <v>176</v>
      </c>
      <c r="L30" s="14">
        <f t="shared" si="32"/>
        <v>2.9891417483167553</v>
      </c>
      <c r="M30" s="7">
        <f t="shared" si="33"/>
        <v>526.08894770374889</v>
      </c>
      <c r="O30" s="15">
        <f t="shared" si="34"/>
        <v>4</v>
      </c>
      <c r="P30" s="7">
        <f t="shared" si="7"/>
        <v>60.331301342173049</v>
      </c>
      <c r="Q30" s="7">
        <f t="shared" si="8"/>
        <v>241.3252053686922</v>
      </c>
      <c r="S30" s="15">
        <f t="shared" si="35"/>
        <v>2</v>
      </c>
      <c r="T30" s="7">
        <f t="shared" si="9"/>
        <v>60.331301342173049</v>
      </c>
      <c r="U30" s="7">
        <f t="shared" si="10"/>
        <v>120.6626026843461</v>
      </c>
      <c r="W30" s="14">
        <f t="shared" si="36"/>
        <v>8</v>
      </c>
      <c r="X30" s="7">
        <f t="shared" si="11"/>
        <v>180.99390402651926</v>
      </c>
      <c r="Y30" s="22">
        <f t="shared" si="12"/>
        <v>1447.9512322121541</v>
      </c>
      <c r="AA30" s="7">
        <f t="shared" si="13"/>
        <v>144.45450077137352</v>
      </c>
      <c r="AB30" s="7">
        <f t="shared" si="2"/>
        <v>2224.5993118791521</v>
      </c>
      <c r="AD30" s="7">
        <f t="shared" si="14"/>
        <v>15.4</v>
      </c>
      <c r="AE30" s="7">
        <f t="shared" si="15"/>
        <v>619.09071759160111</v>
      </c>
      <c r="AF30" s="22">
        <f t="shared" si="16"/>
        <v>9533.997050910657</v>
      </c>
      <c r="AG30" s="7">
        <f t="shared" si="37"/>
        <v>32</v>
      </c>
      <c r="AH30" s="7">
        <f t="shared" si="17"/>
        <v>154.77267939790028</v>
      </c>
      <c r="AI30" s="22">
        <f t="shared" si="18"/>
        <v>4952.7257407328088</v>
      </c>
      <c r="AJ30" s="22">
        <f t="shared" si="50"/>
        <v>14486.722791643466</v>
      </c>
      <c r="AL30" s="15">
        <f t="shared" si="38"/>
        <v>0.5</v>
      </c>
      <c r="AM30" s="7">
        <f t="shared" si="19"/>
        <v>200.07995620503792</v>
      </c>
      <c r="AN30" s="7">
        <f t="shared" si="20"/>
        <v>100.03997810251896</v>
      </c>
      <c r="AP30" s="7">
        <f t="shared" si="39"/>
        <v>36</v>
      </c>
      <c r="AQ30" s="7">
        <f t="shared" si="21"/>
        <v>46.431803819370003</v>
      </c>
      <c r="AR30" s="22">
        <f t="shared" si="22"/>
        <v>1671.54493749732</v>
      </c>
      <c r="AS30" s="7">
        <f t="shared" si="40"/>
        <v>60</v>
      </c>
      <c r="AT30" s="7">
        <f t="shared" si="23"/>
        <v>46.431803819370003</v>
      </c>
      <c r="AU30" s="22">
        <f t="shared" si="24"/>
        <v>2785.9082291622003</v>
      </c>
      <c r="AV30" s="22">
        <f t="shared" si="25"/>
        <v>4457.4531666595203</v>
      </c>
      <c r="AX30" s="7">
        <f t="shared" si="41"/>
        <v>231</v>
      </c>
      <c r="AY30" s="7">
        <f t="shared" si="26"/>
        <v>46.431803819370003</v>
      </c>
      <c r="AZ30" s="22">
        <f t="shared" si="42"/>
        <v>10725.74668227447</v>
      </c>
      <c r="BB30" s="7">
        <f t="shared" si="27"/>
        <v>154</v>
      </c>
      <c r="BD30" s="22">
        <f t="shared" si="4"/>
        <v>34484.589918528072</v>
      </c>
      <c r="BF30" s="22">
        <f t="shared" si="5"/>
        <v>58886.056310489599</v>
      </c>
      <c r="BH30" s="15">
        <f t="shared" si="43"/>
        <v>5.4347161837336335</v>
      </c>
      <c r="BJ30" s="7">
        <f t="shared" si="49"/>
        <v>259.49764016895824</v>
      </c>
      <c r="BK30" s="7">
        <f t="shared" si="49"/>
        <v>292.62354584829654</v>
      </c>
      <c r="BL30" s="7">
        <f t="shared" si="49"/>
        <v>258.47037459449325</v>
      </c>
      <c r="BM30" s="7">
        <v>120.29086019139086</v>
      </c>
    </row>
    <row r="31" spans="1:65" x14ac:dyDescent="0.2">
      <c r="A31" s="8">
        <f t="shared" si="6"/>
        <v>2045</v>
      </c>
      <c r="B31" s="22">
        <f t="shared" si="47"/>
        <v>3494.9143520013477</v>
      </c>
      <c r="C31" s="22">
        <f t="shared" si="28"/>
        <v>6257.0459031393648</v>
      </c>
      <c r="E31" s="15">
        <f t="shared" si="48"/>
        <v>12.388738484607703</v>
      </c>
      <c r="F31" s="15">
        <f t="shared" si="30"/>
        <v>15.4</v>
      </c>
      <c r="H31" s="22">
        <f t="shared" si="0"/>
        <v>43297.579933046887</v>
      </c>
      <c r="I31" s="22">
        <f t="shared" si="1"/>
        <v>96358.506908346215</v>
      </c>
      <c r="K31" s="54">
        <f t="shared" si="31"/>
        <v>176</v>
      </c>
      <c r="L31" s="14">
        <f t="shared" si="32"/>
        <v>3.0288407618147035</v>
      </c>
      <c r="M31" s="7">
        <f t="shared" si="33"/>
        <v>533.07597407938783</v>
      </c>
      <c r="O31" s="15">
        <f t="shared" si="34"/>
        <v>4</v>
      </c>
      <c r="P31" s="7">
        <f t="shared" si="7"/>
        <v>61.132565834792182</v>
      </c>
      <c r="Q31" s="7">
        <f t="shared" si="8"/>
        <v>244.53026333916873</v>
      </c>
      <c r="S31" s="15">
        <f t="shared" si="35"/>
        <v>2</v>
      </c>
      <c r="T31" s="7">
        <f t="shared" si="9"/>
        <v>61.132565834792182</v>
      </c>
      <c r="U31" s="7">
        <f t="shared" si="10"/>
        <v>122.26513166958436</v>
      </c>
      <c r="W31" s="14">
        <f t="shared" si="36"/>
        <v>8</v>
      </c>
      <c r="X31" s="7">
        <f t="shared" si="11"/>
        <v>183.39769750437665</v>
      </c>
      <c r="Y31" s="22">
        <f t="shared" si="12"/>
        <v>1467.1815800350132</v>
      </c>
      <c r="AA31" s="7">
        <f t="shared" si="13"/>
        <v>149.07704479605746</v>
      </c>
      <c r="AB31" s="7">
        <f t="shared" si="2"/>
        <v>2295.7864898592852</v>
      </c>
      <c r="AD31" s="7">
        <f t="shared" si="14"/>
        <v>15.4</v>
      </c>
      <c r="AE31" s="7">
        <f t="shared" si="15"/>
        <v>638.90162055453231</v>
      </c>
      <c r="AF31" s="22">
        <f t="shared" si="16"/>
        <v>9839.0849565397984</v>
      </c>
      <c r="AG31" s="7">
        <f t="shared" si="37"/>
        <v>32</v>
      </c>
      <c r="AH31" s="7">
        <f t="shared" si="17"/>
        <v>159.72540513863308</v>
      </c>
      <c r="AI31" s="22">
        <f t="shared" si="18"/>
        <v>5111.2129644362585</v>
      </c>
      <c r="AJ31" s="22">
        <f t="shared" si="50"/>
        <v>14950.297920976056</v>
      </c>
      <c r="AL31" s="15">
        <f t="shared" si="38"/>
        <v>0.5</v>
      </c>
      <c r="AM31" s="7">
        <f t="shared" si="19"/>
        <v>206.48251480359912</v>
      </c>
      <c r="AN31" s="7">
        <f t="shared" si="20"/>
        <v>103.24125740179956</v>
      </c>
      <c r="AP31" s="7">
        <f t="shared" si="39"/>
        <v>36</v>
      </c>
      <c r="AQ31" s="7">
        <f t="shared" si="21"/>
        <v>47.917621541589845</v>
      </c>
      <c r="AR31" s="22">
        <f t="shared" si="22"/>
        <v>1725.0343754972344</v>
      </c>
      <c r="AS31" s="7">
        <f t="shared" si="40"/>
        <v>60</v>
      </c>
      <c r="AT31" s="7">
        <f t="shared" si="23"/>
        <v>47.917621541589845</v>
      </c>
      <c r="AU31" s="22">
        <f t="shared" si="24"/>
        <v>2875.0572924953908</v>
      </c>
      <c r="AV31" s="22">
        <f t="shared" si="25"/>
        <v>4600.0916679926249</v>
      </c>
      <c r="AX31" s="7">
        <f t="shared" si="41"/>
        <v>231</v>
      </c>
      <c r="AY31" s="7">
        <f t="shared" si="26"/>
        <v>47.917621541589845</v>
      </c>
      <c r="AZ31" s="22">
        <f t="shared" si="42"/>
        <v>11068.970576107255</v>
      </c>
      <c r="BB31" s="7">
        <f t="shared" si="27"/>
        <v>154</v>
      </c>
      <c r="BD31" s="22">
        <f t="shared" si="4"/>
        <v>35539.440861460171</v>
      </c>
      <c r="BF31" s="22">
        <f t="shared" si="5"/>
        <v>60819.066046886044</v>
      </c>
      <c r="BH31" s="15">
        <f t="shared" si="43"/>
        <v>5.4272303402566733</v>
      </c>
      <c r="BJ31" s="7">
        <f t="shared" si="49"/>
        <v>267.80156465436488</v>
      </c>
      <c r="BK31" s="7">
        <f t="shared" si="49"/>
        <v>301.98749931544205</v>
      </c>
      <c r="BL31" s="7">
        <f t="shared" si="49"/>
        <v>266.74142658151703</v>
      </c>
      <c r="BM31" s="7">
        <v>121.88845203697896</v>
      </c>
    </row>
    <row r="32" spans="1:65" x14ac:dyDescent="0.2">
      <c r="A32" s="8">
        <f t="shared" si="6"/>
        <v>2046</v>
      </c>
      <c r="B32" s="22">
        <f t="shared" si="47"/>
        <v>3494.9143520013477</v>
      </c>
      <c r="C32" s="22">
        <f t="shared" si="28"/>
        <v>6457.2713720398242</v>
      </c>
      <c r="E32" s="15">
        <f t="shared" si="48"/>
        <v>12.3441286872863</v>
      </c>
      <c r="F32" s="15">
        <f t="shared" si="30"/>
        <v>15.4</v>
      </c>
      <c r="H32" s="22">
        <f t="shared" si="0"/>
        <v>43141.672512148449</v>
      </c>
      <c r="I32" s="22">
        <f t="shared" si="1"/>
        <v>99441.979129413288</v>
      </c>
      <c r="K32" s="54">
        <f t="shared" si="31"/>
        <v>176</v>
      </c>
      <c r="L32" s="14">
        <f t="shared" si="32"/>
        <v>3.0744234485544735</v>
      </c>
      <c r="M32" s="7">
        <f t="shared" si="33"/>
        <v>541.09852694558731</v>
      </c>
      <c r="O32" s="15">
        <f t="shared" si="34"/>
        <v>4</v>
      </c>
      <c r="P32" s="7">
        <f t="shared" si="7"/>
        <v>62.052583365319649</v>
      </c>
      <c r="Q32" s="7">
        <f t="shared" si="8"/>
        <v>248.21033346127859</v>
      </c>
      <c r="S32" s="15">
        <f t="shared" si="35"/>
        <v>2</v>
      </c>
      <c r="T32" s="7">
        <f t="shared" si="9"/>
        <v>62.052583365319649</v>
      </c>
      <c r="U32" s="7">
        <f t="shared" si="10"/>
        <v>124.1051667306393</v>
      </c>
      <c r="W32" s="14">
        <f t="shared" si="36"/>
        <v>8</v>
      </c>
      <c r="X32" s="7">
        <f t="shared" si="11"/>
        <v>186.15775009595905</v>
      </c>
      <c r="Y32" s="22">
        <f t="shared" si="12"/>
        <v>1489.2620007676724</v>
      </c>
      <c r="AA32" s="7">
        <f t="shared" si="13"/>
        <v>153.84751022953131</v>
      </c>
      <c r="AB32" s="7">
        <f t="shared" si="2"/>
        <v>2369.2516575347822</v>
      </c>
      <c r="AD32" s="7">
        <f t="shared" si="14"/>
        <v>15.4</v>
      </c>
      <c r="AE32" s="7">
        <f t="shared" si="15"/>
        <v>659.34647241227742</v>
      </c>
      <c r="AF32" s="22">
        <f t="shared" si="16"/>
        <v>10153.935675149072</v>
      </c>
      <c r="AG32" s="7">
        <f t="shared" si="37"/>
        <v>32</v>
      </c>
      <c r="AH32" s="7">
        <f t="shared" si="17"/>
        <v>164.83661810306936</v>
      </c>
      <c r="AI32" s="22">
        <f t="shared" si="18"/>
        <v>5274.7717792982194</v>
      </c>
      <c r="AJ32" s="22">
        <f t="shared" si="50"/>
        <v>15428.707454447293</v>
      </c>
      <c r="AL32" s="15">
        <f t="shared" si="38"/>
        <v>0.5</v>
      </c>
      <c r="AM32" s="7">
        <f t="shared" si="19"/>
        <v>213.08995527731429</v>
      </c>
      <c r="AN32" s="7">
        <f t="shared" si="20"/>
        <v>106.54497763865714</v>
      </c>
      <c r="AP32" s="7">
        <f t="shared" si="39"/>
        <v>36</v>
      </c>
      <c r="AQ32" s="7">
        <f t="shared" si="21"/>
        <v>49.450985430920724</v>
      </c>
      <c r="AR32" s="22">
        <f t="shared" si="22"/>
        <v>1780.235475513146</v>
      </c>
      <c r="AS32" s="7">
        <f t="shared" si="40"/>
        <v>60</v>
      </c>
      <c r="AT32" s="7">
        <f t="shared" si="23"/>
        <v>49.450985430920724</v>
      </c>
      <c r="AU32" s="22">
        <f t="shared" si="24"/>
        <v>2967.0591258552436</v>
      </c>
      <c r="AV32" s="22">
        <f t="shared" si="25"/>
        <v>4747.2946013683895</v>
      </c>
      <c r="AX32" s="7">
        <f t="shared" si="41"/>
        <v>231</v>
      </c>
      <c r="AY32" s="7">
        <f t="shared" si="26"/>
        <v>49.450985430920724</v>
      </c>
      <c r="AZ32" s="22">
        <f t="shared" si="42"/>
        <v>11423.177634542688</v>
      </c>
      <c r="BB32" s="7">
        <f t="shared" si="27"/>
        <v>154</v>
      </c>
      <c r="BD32" s="22">
        <f t="shared" si="4"/>
        <v>36631.652353436984</v>
      </c>
      <c r="BF32" s="22">
        <f t="shared" si="5"/>
        <v>62810.326775976304</v>
      </c>
      <c r="BH32" s="15">
        <f t="shared" si="43"/>
        <v>5.4205504023515392</v>
      </c>
      <c r="BJ32" s="7">
        <f t="shared" si="49"/>
        <v>276.37121472330455</v>
      </c>
      <c r="BK32" s="7">
        <f t="shared" si="49"/>
        <v>311.65109929353622</v>
      </c>
      <c r="BL32" s="7">
        <f t="shared" si="49"/>
        <v>275.27715223212556</v>
      </c>
      <c r="BM32" s="7">
        <v>123.72281823953503</v>
      </c>
    </row>
    <row r="33" spans="1:65" x14ac:dyDescent="0.2">
      <c r="A33" s="8">
        <f t="shared" si="6"/>
        <v>2047</v>
      </c>
      <c r="B33" s="22">
        <f t="shared" si="47"/>
        <v>3494.9143520013477</v>
      </c>
      <c r="C33" s="22">
        <f t="shared" si="28"/>
        <v>6663.9040559450996</v>
      </c>
      <c r="E33" s="15">
        <f t="shared" si="48"/>
        <v>12.29967952246348</v>
      </c>
      <c r="F33" s="15">
        <f t="shared" si="30"/>
        <v>15.4</v>
      </c>
      <c r="H33" s="22">
        <f t="shared" si="0"/>
        <v>42986.326488074701</v>
      </c>
      <c r="I33" s="22">
        <f t="shared" si="1"/>
        <v>102624.12246155454</v>
      </c>
      <c r="K33" s="54">
        <f t="shared" si="31"/>
        <v>176</v>
      </c>
      <c r="L33" s="14">
        <f t="shared" si="32"/>
        <v>3.1225098458032847</v>
      </c>
      <c r="M33" s="7">
        <f t="shared" si="33"/>
        <v>549.56173286137812</v>
      </c>
      <c r="O33" s="15">
        <f t="shared" si="34"/>
        <v>4</v>
      </c>
      <c r="P33" s="7">
        <f t="shared" si="7"/>
        <v>63.023134502451619</v>
      </c>
      <c r="Q33" s="7">
        <f t="shared" si="8"/>
        <v>252.09253800980647</v>
      </c>
      <c r="S33" s="15">
        <f t="shared" si="35"/>
        <v>2</v>
      </c>
      <c r="T33" s="7">
        <f t="shared" si="9"/>
        <v>63.023134502451619</v>
      </c>
      <c r="U33" s="7">
        <f t="shared" si="10"/>
        <v>126.04626900490324</v>
      </c>
      <c r="W33" s="14">
        <f t="shared" si="36"/>
        <v>8</v>
      </c>
      <c r="X33" s="7">
        <f t="shared" si="11"/>
        <v>189.06940350735496</v>
      </c>
      <c r="Y33" s="22">
        <f t="shared" si="12"/>
        <v>1512.5552280588397</v>
      </c>
      <c r="AA33" s="7">
        <f t="shared" si="13"/>
        <v>158.77063055687631</v>
      </c>
      <c r="AB33" s="7">
        <f t="shared" si="2"/>
        <v>2445.0677105758955</v>
      </c>
      <c r="AD33" s="7">
        <f t="shared" si="14"/>
        <v>15.4</v>
      </c>
      <c r="AE33" s="7">
        <f t="shared" si="15"/>
        <v>680.4455595294703</v>
      </c>
      <c r="AF33" s="22">
        <f t="shared" si="16"/>
        <v>10478.861616753842</v>
      </c>
      <c r="AG33" s="7">
        <f t="shared" si="37"/>
        <v>32</v>
      </c>
      <c r="AH33" s="7">
        <f t="shared" si="17"/>
        <v>170.11138988236758</v>
      </c>
      <c r="AI33" s="22">
        <f t="shared" si="18"/>
        <v>5443.5644762357624</v>
      </c>
      <c r="AJ33" s="22">
        <f t="shared" si="50"/>
        <v>15922.426092989605</v>
      </c>
      <c r="AL33" s="15">
        <f t="shared" si="38"/>
        <v>0.5</v>
      </c>
      <c r="AM33" s="7">
        <f t="shared" si="19"/>
        <v>219.90883384618837</v>
      </c>
      <c r="AN33" s="7">
        <f t="shared" si="20"/>
        <v>109.95441692309419</v>
      </c>
      <c r="AP33" s="7">
        <f t="shared" si="39"/>
        <v>36</v>
      </c>
      <c r="AQ33" s="7">
        <f t="shared" si="21"/>
        <v>51.033416964710192</v>
      </c>
      <c r="AR33" s="22">
        <f t="shared" si="22"/>
        <v>1837.2030107295668</v>
      </c>
      <c r="AS33" s="7">
        <f t="shared" si="40"/>
        <v>60</v>
      </c>
      <c r="AT33" s="7">
        <f t="shared" si="23"/>
        <v>51.033416964710192</v>
      </c>
      <c r="AU33" s="22">
        <f t="shared" si="24"/>
        <v>3062.0050178826114</v>
      </c>
      <c r="AV33" s="22">
        <f t="shared" si="25"/>
        <v>4899.2080286121782</v>
      </c>
      <c r="AX33" s="7">
        <f t="shared" si="41"/>
        <v>231</v>
      </c>
      <c r="AY33" s="7">
        <f t="shared" si="26"/>
        <v>51.033416964710192</v>
      </c>
      <c r="AZ33" s="22">
        <f t="shared" si="42"/>
        <v>11788.719318848054</v>
      </c>
      <c r="BB33" s="7">
        <f t="shared" si="27"/>
        <v>154</v>
      </c>
      <c r="BD33" s="22">
        <f t="shared" si="4"/>
        <v>37759.631335883751</v>
      </c>
      <c r="BF33" s="22">
        <f t="shared" si="5"/>
        <v>64864.491125670786</v>
      </c>
      <c r="BH33" s="15">
        <f t="shared" si="43"/>
        <v>5.4142040703769396</v>
      </c>
      <c r="BJ33" s="7">
        <f t="shared" si="49"/>
        <v>285.21509359445031</v>
      </c>
      <c r="BK33" s="7">
        <f t="shared" si="49"/>
        <v>321.62393447092938</v>
      </c>
      <c r="BL33" s="7">
        <f t="shared" si="49"/>
        <v>284.08602110355355</v>
      </c>
      <c r="BM33" s="7">
        <v>125.65794028311885</v>
      </c>
    </row>
    <row r="34" spans="1:65" x14ac:dyDescent="0.2">
      <c r="A34" s="8">
        <f t="shared" si="6"/>
        <v>2048</v>
      </c>
      <c r="B34" s="22">
        <f t="shared" si="47"/>
        <v>3494.9143520013477</v>
      </c>
      <c r="C34" s="22">
        <f t="shared" si="28"/>
        <v>6877.1489857353426</v>
      </c>
      <c r="E34" s="15">
        <f t="shared" si="48"/>
        <v>12.255390411728193</v>
      </c>
      <c r="F34" s="15">
        <f t="shared" si="30"/>
        <v>15.4</v>
      </c>
      <c r="H34" s="22">
        <f t="shared" si="0"/>
        <v>42831.539839328565</v>
      </c>
      <c r="I34" s="22">
        <f t="shared" si="1"/>
        <v>105908.09438032428</v>
      </c>
      <c r="K34" s="54">
        <f t="shared" si="31"/>
        <v>176</v>
      </c>
      <c r="L34" s="14">
        <f t="shared" si="32"/>
        <v>3.1722415256731473</v>
      </c>
      <c r="M34" s="7">
        <f t="shared" si="33"/>
        <v>558.31450851847399</v>
      </c>
      <c r="O34" s="15">
        <f t="shared" si="34"/>
        <v>4</v>
      </c>
      <c r="P34" s="7">
        <f t="shared" si="7"/>
        <v>64.026893178724066</v>
      </c>
      <c r="Q34" s="7">
        <f t="shared" si="8"/>
        <v>256.10757271489626</v>
      </c>
      <c r="S34" s="15">
        <f t="shared" si="35"/>
        <v>2</v>
      </c>
      <c r="T34" s="7">
        <f t="shared" si="9"/>
        <v>64.026893178724066</v>
      </c>
      <c r="U34" s="7">
        <f t="shared" si="10"/>
        <v>128.05378635744813</v>
      </c>
      <c r="W34" s="14">
        <f t="shared" si="36"/>
        <v>8</v>
      </c>
      <c r="X34" s="7">
        <f t="shared" si="11"/>
        <v>192.08067953617231</v>
      </c>
      <c r="Y34" s="22">
        <f t="shared" si="12"/>
        <v>1536.6454362893785</v>
      </c>
      <c r="AA34" s="7">
        <f t="shared" si="13"/>
        <v>163.85129073469636</v>
      </c>
      <c r="AB34" s="7">
        <f t="shared" si="2"/>
        <v>2523.3098773143242</v>
      </c>
      <c r="AD34" s="7">
        <f t="shared" si="14"/>
        <v>15.4</v>
      </c>
      <c r="AE34" s="7">
        <f t="shared" si="15"/>
        <v>702.21981743441336</v>
      </c>
      <c r="AF34" s="22">
        <f t="shared" si="16"/>
        <v>10814.185188489966</v>
      </c>
      <c r="AG34" s="7">
        <f t="shared" si="37"/>
        <v>32</v>
      </c>
      <c r="AH34" s="7">
        <f t="shared" si="17"/>
        <v>175.55495435860334</v>
      </c>
      <c r="AI34" s="22">
        <f t="shared" si="18"/>
        <v>5617.7585394753069</v>
      </c>
      <c r="AJ34" s="22">
        <f t="shared" si="50"/>
        <v>16431.943727965274</v>
      </c>
      <c r="AL34" s="15">
        <f t="shared" si="38"/>
        <v>0.5</v>
      </c>
      <c r="AM34" s="7">
        <f t="shared" si="19"/>
        <v>226.94591652926638</v>
      </c>
      <c r="AN34" s="7">
        <f t="shared" si="20"/>
        <v>113.47295826463319</v>
      </c>
      <c r="AP34" s="7">
        <f t="shared" si="39"/>
        <v>36</v>
      </c>
      <c r="AQ34" s="7">
        <f t="shared" si="21"/>
        <v>52.666486307580918</v>
      </c>
      <c r="AR34" s="22">
        <f t="shared" si="22"/>
        <v>1895.993507072913</v>
      </c>
      <c r="AS34" s="7">
        <f t="shared" si="40"/>
        <v>60</v>
      </c>
      <c r="AT34" s="7">
        <f t="shared" si="23"/>
        <v>52.666486307580918</v>
      </c>
      <c r="AU34" s="22">
        <f t="shared" si="24"/>
        <v>3159.9891784548549</v>
      </c>
      <c r="AV34" s="22">
        <f t="shared" si="25"/>
        <v>5055.9826855277679</v>
      </c>
      <c r="AX34" s="7">
        <f t="shared" si="41"/>
        <v>231</v>
      </c>
      <c r="AY34" s="7">
        <f t="shared" si="26"/>
        <v>52.666486307580918</v>
      </c>
      <c r="AZ34" s="22">
        <f t="shared" si="42"/>
        <v>12165.958337051192</v>
      </c>
      <c r="BB34" s="7">
        <f t="shared" si="27"/>
        <v>154</v>
      </c>
      <c r="BD34" s="22">
        <f t="shared" si="4"/>
        <v>38923.788890003387</v>
      </c>
      <c r="BF34" s="22">
        <f t="shared" si="5"/>
        <v>66984.305490320898</v>
      </c>
      <c r="BH34" s="15">
        <f t="shared" si="43"/>
        <v>5.4080676004179749</v>
      </c>
      <c r="BJ34" s="7">
        <f t="shared" si="49"/>
        <v>294.34197658947272</v>
      </c>
      <c r="BK34" s="7">
        <f t="shared" si="49"/>
        <v>331.91590037399914</v>
      </c>
      <c r="BL34" s="7">
        <f t="shared" si="49"/>
        <v>293.17677377886724</v>
      </c>
      <c r="BM34" s="7">
        <v>127.65927279057767</v>
      </c>
    </row>
    <row r="35" spans="1:65" x14ac:dyDescent="0.2">
      <c r="A35" s="8">
        <f t="shared" si="6"/>
        <v>2049</v>
      </c>
      <c r="B35" s="22">
        <f t="shared" si="47"/>
        <v>3494.9143520013477</v>
      </c>
      <c r="C35" s="22">
        <f t="shared" si="28"/>
        <v>7097.2177532788746</v>
      </c>
      <c r="E35" s="15">
        <f t="shared" si="48"/>
        <v>12.211260778752155</v>
      </c>
      <c r="F35" s="15">
        <f t="shared" si="30"/>
        <v>15.4</v>
      </c>
      <c r="H35" s="22">
        <f t="shared" si="0"/>
        <v>42677.310551692062</v>
      </c>
      <c r="I35" s="22">
        <f t="shared" si="1"/>
        <v>109297.15340049467</v>
      </c>
      <c r="K35" s="54">
        <f t="shared" si="31"/>
        <v>176</v>
      </c>
      <c r="L35" s="14">
        <f t="shared" si="32"/>
        <v>3.2206234833104621</v>
      </c>
      <c r="M35" s="7">
        <f t="shared" si="33"/>
        <v>566.82973306264137</v>
      </c>
      <c r="O35" s="15">
        <f t="shared" si="34"/>
        <v>4</v>
      </c>
      <c r="P35" s="7">
        <f t="shared" si="7"/>
        <v>65.003409754890043</v>
      </c>
      <c r="Q35" s="7">
        <f t="shared" si="8"/>
        <v>260.01363901956017</v>
      </c>
      <c r="S35" s="15">
        <f t="shared" si="35"/>
        <v>2</v>
      </c>
      <c r="T35" s="7">
        <f t="shared" si="9"/>
        <v>65.003409754890043</v>
      </c>
      <c r="U35" s="7">
        <f t="shared" si="10"/>
        <v>130.00681950978009</v>
      </c>
      <c r="W35" s="14">
        <f t="shared" si="36"/>
        <v>8</v>
      </c>
      <c r="X35" s="7">
        <f t="shared" si="11"/>
        <v>195.01022926467024</v>
      </c>
      <c r="Y35" s="22">
        <f t="shared" si="12"/>
        <v>1560.081834117362</v>
      </c>
      <c r="AA35" s="7">
        <f t="shared" si="13"/>
        <v>169.09453203820664</v>
      </c>
      <c r="AB35" s="7">
        <f t="shared" si="2"/>
        <v>2604.0557933883824</v>
      </c>
      <c r="AD35" s="7">
        <f t="shared" si="14"/>
        <v>15.4</v>
      </c>
      <c r="AE35" s="7">
        <f t="shared" si="15"/>
        <v>724.69085159231463</v>
      </c>
      <c r="AF35" s="22">
        <f t="shared" si="16"/>
        <v>11160.239114521646</v>
      </c>
      <c r="AG35" s="7">
        <f t="shared" si="37"/>
        <v>32</v>
      </c>
      <c r="AH35" s="7">
        <f t="shared" si="17"/>
        <v>181.17271289807866</v>
      </c>
      <c r="AI35" s="22">
        <f t="shared" si="18"/>
        <v>5797.526812738517</v>
      </c>
      <c r="AJ35" s="22">
        <f t="shared" si="50"/>
        <v>16957.765927260163</v>
      </c>
      <c r="AL35" s="15">
        <f t="shared" si="38"/>
        <v>0.5</v>
      </c>
      <c r="AM35" s="7">
        <f t="shared" si="19"/>
        <v>234.20818585820291</v>
      </c>
      <c r="AN35" s="7">
        <f t="shared" si="20"/>
        <v>117.10409292910145</v>
      </c>
      <c r="AP35" s="7">
        <f t="shared" si="39"/>
        <v>36</v>
      </c>
      <c r="AQ35" s="7">
        <f t="shared" si="21"/>
        <v>54.351813869423509</v>
      </c>
      <c r="AR35" s="22">
        <f t="shared" si="22"/>
        <v>1956.6652992992463</v>
      </c>
      <c r="AS35" s="7">
        <f t="shared" si="40"/>
        <v>60</v>
      </c>
      <c r="AT35" s="7">
        <f t="shared" si="23"/>
        <v>54.351813869423509</v>
      </c>
      <c r="AU35" s="22">
        <f t="shared" si="24"/>
        <v>3261.1088321654106</v>
      </c>
      <c r="AV35" s="22">
        <f t="shared" si="25"/>
        <v>5217.7741314646573</v>
      </c>
      <c r="AX35" s="7">
        <f t="shared" si="41"/>
        <v>231</v>
      </c>
      <c r="AY35" s="7">
        <f t="shared" si="26"/>
        <v>54.351813869423509</v>
      </c>
      <c r="AZ35" s="22">
        <f t="shared" si="42"/>
        <v>12555.269003836831</v>
      </c>
      <c r="BB35" s="7">
        <f t="shared" si="27"/>
        <v>154</v>
      </c>
      <c r="BD35" s="22">
        <f t="shared" si="4"/>
        <v>40122.900974588476</v>
      </c>
      <c r="BF35" s="22">
        <f t="shared" si="5"/>
        <v>69174.25242590619</v>
      </c>
      <c r="BH35" s="15">
        <f t="shared" si="43"/>
        <v>5.4017897305143387</v>
      </c>
      <c r="BJ35" s="7">
        <f t="shared" si="49"/>
        <v>303.76091984033587</v>
      </c>
      <c r="BK35" s="7">
        <f t="shared" si="49"/>
        <v>342.53720918596713</v>
      </c>
      <c r="BL35" s="7">
        <f t="shared" si="49"/>
        <v>302.558430539791</v>
      </c>
      <c r="BM35" s="7">
        <v>129.60628895507148</v>
      </c>
    </row>
    <row r="36" spans="1:65" x14ac:dyDescent="0.2">
      <c r="A36" s="8">
        <f t="shared" si="6"/>
        <v>2050</v>
      </c>
      <c r="B36" s="22">
        <f t="shared" si="47"/>
        <v>3494.9143520013477</v>
      </c>
      <c r="C36" s="22">
        <f t="shared" si="28"/>
        <v>7324.3287213837984</v>
      </c>
      <c r="E36" s="15">
        <f t="shared" si="48"/>
        <v>12.167290049282343</v>
      </c>
      <c r="F36" s="15">
        <f t="shared" si="30"/>
        <v>15.4</v>
      </c>
      <c r="H36" s="22">
        <f t="shared" si="0"/>
        <v>42523.636618200042</v>
      </c>
      <c r="I36" s="22">
        <f t="shared" si="1"/>
        <v>112794.6623093105</v>
      </c>
      <c r="K36" s="54">
        <f t="shared" si="31"/>
        <v>176</v>
      </c>
      <c r="L36" s="14">
        <f t="shared" si="32"/>
        <v>3.2666901781680449</v>
      </c>
      <c r="M36" s="7">
        <f t="shared" si="33"/>
        <v>574.93747135757587</v>
      </c>
      <c r="O36" s="15">
        <f t="shared" si="34"/>
        <v>4</v>
      </c>
      <c r="P36" s="7">
        <f t="shared" si="7"/>
        <v>65.933196256602727</v>
      </c>
      <c r="Q36" s="7">
        <f t="shared" si="8"/>
        <v>263.73278502641091</v>
      </c>
      <c r="S36" s="15">
        <f t="shared" si="35"/>
        <v>2</v>
      </c>
      <c r="T36" s="7">
        <f t="shared" si="9"/>
        <v>65.933196256602727</v>
      </c>
      <c r="U36" s="7">
        <f t="shared" si="10"/>
        <v>131.86639251320545</v>
      </c>
      <c r="W36" s="14">
        <f t="shared" si="36"/>
        <v>8</v>
      </c>
      <c r="X36" s="7">
        <f t="shared" si="11"/>
        <v>197.79958876980831</v>
      </c>
      <c r="Y36" s="22">
        <f t="shared" si="12"/>
        <v>1582.3967101584665</v>
      </c>
      <c r="AA36" s="7">
        <f t="shared" si="13"/>
        <v>174.50555706342925</v>
      </c>
      <c r="AB36" s="7">
        <f t="shared" si="2"/>
        <v>2687.3855787768107</v>
      </c>
      <c r="AD36" s="7">
        <f t="shared" si="14"/>
        <v>15.4</v>
      </c>
      <c r="AE36" s="7">
        <f t="shared" si="15"/>
        <v>747.88095884326867</v>
      </c>
      <c r="AF36" s="22">
        <f t="shared" si="16"/>
        <v>11517.366766186338</v>
      </c>
      <c r="AG36" s="7">
        <f t="shared" si="37"/>
        <v>32</v>
      </c>
      <c r="AH36" s="7">
        <f t="shared" si="17"/>
        <v>186.97023971081717</v>
      </c>
      <c r="AI36" s="22">
        <f t="shared" si="18"/>
        <v>5983.0476707461494</v>
      </c>
      <c r="AJ36" s="22">
        <f t="shared" si="50"/>
        <v>17500.414436932486</v>
      </c>
      <c r="AL36" s="15">
        <f t="shared" si="38"/>
        <v>0.5</v>
      </c>
      <c r="AM36" s="7">
        <f t="shared" si="19"/>
        <v>241.70284780566539</v>
      </c>
      <c r="AN36" s="7">
        <f t="shared" si="20"/>
        <v>120.85142390283269</v>
      </c>
      <c r="AP36" s="7">
        <f t="shared" si="39"/>
        <v>36</v>
      </c>
      <c r="AQ36" s="7">
        <f t="shared" si="21"/>
        <v>56.091071913245059</v>
      </c>
      <c r="AR36" s="22">
        <f t="shared" si="22"/>
        <v>2019.2785888768221</v>
      </c>
      <c r="AS36" s="7">
        <f t="shared" si="40"/>
        <v>60</v>
      </c>
      <c r="AT36" s="7">
        <f t="shared" si="23"/>
        <v>56.091071913245059</v>
      </c>
      <c r="AU36" s="22">
        <f t="shared" si="24"/>
        <v>3365.4643147947036</v>
      </c>
      <c r="AV36" s="22">
        <f t="shared" si="25"/>
        <v>5384.7429036715257</v>
      </c>
      <c r="AX36" s="7">
        <f t="shared" si="41"/>
        <v>231</v>
      </c>
      <c r="AY36" s="7">
        <f t="shared" si="26"/>
        <v>56.091071913245059</v>
      </c>
      <c r="AZ36" s="22">
        <f t="shared" si="42"/>
        <v>12957.037611959609</v>
      </c>
      <c r="BB36" s="7">
        <f t="shared" si="27"/>
        <v>154</v>
      </c>
      <c r="BD36" s="22">
        <f t="shared" si="4"/>
        <v>41357.365314298921</v>
      </c>
      <c r="BF36" s="22">
        <f t="shared" si="5"/>
        <v>71437.29699501158</v>
      </c>
      <c r="BH36" s="15">
        <f t="shared" si="43"/>
        <v>5.3952841874587767</v>
      </c>
      <c r="BJ36" s="7">
        <f t="shared" si="49"/>
        <v>313.48126927522662</v>
      </c>
      <c r="BK36" s="7">
        <f t="shared" si="49"/>
        <v>353.49839987991805</v>
      </c>
      <c r="BL36" s="7">
        <f t="shared" si="49"/>
        <v>312.24030031706434</v>
      </c>
      <c r="BM36" s="7">
        <v>131.46013290667179</v>
      </c>
    </row>
    <row r="37" spans="1:65" s="100" customFormat="1" x14ac:dyDescent="0.2">
      <c r="A37" s="100">
        <f t="shared" si="6"/>
        <v>2051</v>
      </c>
      <c r="B37" s="112">
        <f t="shared" si="47"/>
        <v>3494.9143520013477</v>
      </c>
      <c r="C37" s="112">
        <f t="shared" si="28"/>
        <v>7558.7072404680803</v>
      </c>
      <c r="E37" s="110">
        <f t="shared" si="48"/>
        <v>12.123477651133525</v>
      </c>
      <c r="F37" s="15">
        <f t="shared" si="30"/>
        <v>15.4</v>
      </c>
      <c r="H37" s="112">
        <f t="shared" si="0"/>
        <v>42370.516039114147</v>
      </c>
      <c r="I37" s="112">
        <f t="shared" si="1"/>
        <v>116404.09150320844</v>
      </c>
      <c r="K37" s="105">
        <f t="shared" si="31"/>
        <v>176</v>
      </c>
      <c r="L37" s="109">
        <f t="shared" si="32"/>
        <v>3.3081679076886323</v>
      </c>
      <c r="M37" s="111">
        <f t="shared" si="33"/>
        <v>582.23755175319934</v>
      </c>
      <c r="O37" s="110">
        <f t="shared" si="34"/>
        <v>4</v>
      </c>
      <c r="P37" s="111">
        <f t="shared" si="7"/>
        <v>66.770361439587063</v>
      </c>
      <c r="Q37" s="111">
        <f t="shared" si="8"/>
        <v>267.08144575834825</v>
      </c>
      <c r="S37" s="110">
        <f t="shared" si="35"/>
        <v>2</v>
      </c>
      <c r="T37" s="111">
        <f t="shared" si="9"/>
        <v>66.770361439587063</v>
      </c>
      <c r="U37" s="111">
        <f t="shared" si="10"/>
        <v>133.54072287917413</v>
      </c>
      <c r="W37" s="109">
        <f t="shared" si="36"/>
        <v>8</v>
      </c>
      <c r="X37" s="111">
        <f t="shared" si="11"/>
        <v>200.31108431876129</v>
      </c>
      <c r="Y37" s="112">
        <f t="shared" si="12"/>
        <v>1602.4886745500903</v>
      </c>
      <c r="AA37" s="111">
        <f t="shared" si="13"/>
        <v>180.08973488945898</v>
      </c>
      <c r="AB37" s="111">
        <f t="shared" si="2"/>
        <v>2773.3819172976682</v>
      </c>
      <c r="AD37" s="111">
        <f t="shared" si="14"/>
        <v>15.4</v>
      </c>
      <c r="AE37" s="111">
        <f t="shared" si="15"/>
        <v>771.81314952625326</v>
      </c>
      <c r="AF37" s="112">
        <f t="shared" si="16"/>
        <v>11885.922502704301</v>
      </c>
      <c r="AG37" s="111">
        <f t="shared" si="37"/>
        <v>32</v>
      </c>
      <c r="AH37" s="111">
        <f t="shared" si="17"/>
        <v>192.95328738156331</v>
      </c>
      <c r="AI37" s="112">
        <f t="shared" si="18"/>
        <v>6174.505196210026</v>
      </c>
      <c r="AJ37" s="112">
        <f t="shared" si="50"/>
        <v>18060.427698914325</v>
      </c>
      <c r="AL37" s="110">
        <f t="shared" si="38"/>
        <v>0.5</v>
      </c>
      <c r="AM37" s="111">
        <f t="shared" si="19"/>
        <v>249.43733893544669</v>
      </c>
      <c r="AN37" s="111">
        <f t="shared" si="20"/>
        <v>124.71866946772334</v>
      </c>
      <c r="AP37" s="111">
        <f t="shared" si="39"/>
        <v>36</v>
      </c>
      <c r="AQ37" s="111">
        <f t="shared" si="21"/>
        <v>57.8859862144689</v>
      </c>
      <c r="AR37" s="112">
        <f t="shared" si="22"/>
        <v>2083.8955037208802</v>
      </c>
      <c r="AS37" s="111">
        <f t="shared" si="40"/>
        <v>60</v>
      </c>
      <c r="AT37" s="111">
        <f t="shared" si="23"/>
        <v>57.8859862144689</v>
      </c>
      <c r="AU37" s="112">
        <f t="shared" si="24"/>
        <v>3473.1591728681342</v>
      </c>
      <c r="AV37" s="112">
        <f t="shared" si="25"/>
        <v>5557.054676589014</v>
      </c>
      <c r="AX37" s="111">
        <f t="shared" si="41"/>
        <v>231</v>
      </c>
      <c r="AY37" s="111">
        <f t="shared" si="26"/>
        <v>57.8859862144689</v>
      </c>
      <c r="AZ37" s="112">
        <f t="shared" si="42"/>
        <v>13371.662815542317</v>
      </c>
      <c r="BB37" s="111">
        <f t="shared" si="27"/>
        <v>154</v>
      </c>
      <c r="BD37" s="112">
        <f t="shared" si="4"/>
        <v>42626.594172751858</v>
      </c>
      <c r="BF37" s="112">
        <f t="shared" si="5"/>
        <v>73777.497330456594</v>
      </c>
      <c r="BH37" s="110">
        <f t="shared" si="43"/>
        <v>5.3883378480756763</v>
      </c>
      <c r="BJ37" s="111">
        <f t="shared" si="49"/>
        <v>323.5126698920339</v>
      </c>
      <c r="BK37" s="111">
        <f t="shared" si="49"/>
        <v>364.81034867607542</v>
      </c>
      <c r="BL37" s="111">
        <f t="shared" si="49"/>
        <v>322.23198992721041</v>
      </c>
      <c r="BM37" s="111">
        <v>133.12930492423399</v>
      </c>
    </row>
    <row r="38" spans="1:65" s="100" customFormat="1" x14ac:dyDescent="0.2">
      <c r="A38" s="100">
        <f t="shared" si="6"/>
        <v>2052</v>
      </c>
      <c r="B38" s="112">
        <f t="shared" si="47"/>
        <v>3494.9143520013477</v>
      </c>
      <c r="C38" s="112">
        <f t="shared" si="28"/>
        <v>7800.5858721630593</v>
      </c>
      <c r="E38" s="110">
        <f t="shared" si="48"/>
        <v>12.079823014180814</v>
      </c>
      <c r="F38" s="15">
        <f t="shared" si="30"/>
        <v>15.4</v>
      </c>
      <c r="H38" s="112">
        <f t="shared" si="0"/>
        <v>42217.946821896709</v>
      </c>
      <c r="I38" s="112">
        <f t="shared" si="1"/>
        <v>120129.02243131111</v>
      </c>
      <c r="K38" s="105">
        <f t="shared" si="31"/>
        <v>176</v>
      </c>
      <c r="L38" s="109">
        <f t="shared" si="32"/>
        <v>3.3445123372052956</v>
      </c>
      <c r="M38" s="111">
        <f t="shared" si="33"/>
        <v>588.63417134813199</v>
      </c>
      <c r="O38" s="110">
        <f t="shared" si="34"/>
        <v>4</v>
      </c>
      <c r="P38" s="111">
        <f t="shared" si="7"/>
        <v>67.503918732583941</v>
      </c>
      <c r="Q38" s="111">
        <f t="shared" si="8"/>
        <v>270.01567493033576</v>
      </c>
      <c r="S38" s="110">
        <f t="shared" si="35"/>
        <v>2</v>
      </c>
      <c r="T38" s="111">
        <f t="shared" si="9"/>
        <v>67.503918732583941</v>
      </c>
      <c r="U38" s="111">
        <f t="shared" si="10"/>
        <v>135.00783746516788</v>
      </c>
      <c r="W38" s="109">
        <f t="shared" si="36"/>
        <v>8</v>
      </c>
      <c r="X38" s="111">
        <f t="shared" si="11"/>
        <v>202.51175619775191</v>
      </c>
      <c r="Y38" s="112">
        <f t="shared" si="12"/>
        <v>1620.0940495820153</v>
      </c>
      <c r="AA38" s="111">
        <f t="shared" si="13"/>
        <v>185.85260640592168</v>
      </c>
      <c r="AB38" s="111">
        <f t="shared" si="2"/>
        <v>2862.1301386511941</v>
      </c>
      <c r="AD38" s="111">
        <f t="shared" si="14"/>
        <v>15.4</v>
      </c>
      <c r="AE38" s="111">
        <f t="shared" si="15"/>
        <v>796.51117031109334</v>
      </c>
      <c r="AF38" s="112">
        <f t="shared" si="16"/>
        <v>12266.272022790838</v>
      </c>
      <c r="AG38" s="111">
        <f t="shared" si="37"/>
        <v>32</v>
      </c>
      <c r="AH38" s="111">
        <f t="shared" si="17"/>
        <v>199.12779257777333</v>
      </c>
      <c r="AI38" s="112">
        <f t="shared" si="18"/>
        <v>6372.0893624887467</v>
      </c>
      <c r="AJ38" s="112">
        <f t="shared" si="50"/>
        <v>18638.361385279582</v>
      </c>
      <c r="AL38" s="110">
        <f t="shared" si="38"/>
        <v>0.5</v>
      </c>
      <c r="AM38" s="111">
        <f t="shared" si="19"/>
        <v>257.419333781381</v>
      </c>
      <c r="AN38" s="111">
        <f t="shared" si="20"/>
        <v>128.7096668906905</v>
      </c>
      <c r="AP38" s="111">
        <f t="shared" si="39"/>
        <v>36</v>
      </c>
      <c r="AQ38" s="111">
        <f t="shared" si="21"/>
        <v>59.738337773331899</v>
      </c>
      <c r="AR38" s="112">
        <f t="shared" si="22"/>
        <v>2150.5801598399485</v>
      </c>
      <c r="AS38" s="111">
        <f t="shared" si="40"/>
        <v>60</v>
      </c>
      <c r="AT38" s="111">
        <f t="shared" si="23"/>
        <v>59.738337773331899</v>
      </c>
      <c r="AU38" s="112">
        <f t="shared" si="24"/>
        <v>3584.3002663999141</v>
      </c>
      <c r="AV38" s="112">
        <f t="shared" si="25"/>
        <v>5734.8804262398626</v>
      </c>
      <c r="AX38" s="111">
        <f t="shared" si="41"/>
        <v>231</v>
      </c>
      <c r="AY38" s="111">
        <f t="shared" si="26"/>
        <v>59.738337773331899</v>
      </c>
      <c r="AZ38" s="112">
        <f t="shared" si="42"/>
        <v>13799.556025639669</v>
      </c>
      <c r="BB38" s="111">
        <f t="shared" si="27"/>
        <v>154</v>
      </c>
      <c r="BD38" s="112">
        <f t="shared" si="4"/>
        <v>43931.389376026651</v>
      </c>
      <c r="BF38" s="112">
        <f t="shared" si="5"/>
        <v>76197.633055284459</v>
      </c>
      <c r="BH38" s="110">
        <f t="shared" si="43"/>
        <v>5.3809435191045383</v>
      </c>
      <c r="BJ38" s="111">
        <f t="shared" si="49"/>
        <v>333.865075328579</v>
      </c>
      <c r="BK38" s="111">
        <f t="shared" si="49"/>
        <v>376.48427983370982</v>
      </c>
      <c r="BL38" s="111">
        <f t="shared" si="49"/>
        <v>332.54341360488115</v>
      </c>
      <c r="BM38" s="111">
        <v>134.59189956103458</v>
      </c>
    </row>
    <row r="39" spans="1:65" s="100" customFormat="1" x14ac:dyDescent="0.2">
      <c r="A39" s="100">
        <f t="shared" si="6"/>
        <v>2053</v>
      </c>
      <c r="B39" s="112">
        <f t="shared" si="47"/>
        <v>3494.9143520013477</v>
      </c>
      <c r="C39" s="112">
        <f t="shared" si="28"/>
        <v>8050.2046200722762</v>
      </c>
      <c r="E39" s="110">
        <f t="shared" si="48"/>
        <v>12.036325570352247</v>
      </c>
      <c r="F39" s="15">
        <f t="shared" si="30"/>
        <v>15.4</v>
      </c>
      <c r="H39" s="112">
        <f t="shared" si="0"/>
        <v>42065.926981184872</v>
      </c>
      <c r="I39" s="112">
        <f t="shared" si="1"/>
        <v>123973.15114911305</v>
      </c>
      <c r="K39" s="105">
        <f t="shared" si="31"/>
        <v>176</v>
      </c>
      <c r="L39" s="109">
        <f t="shared" si="32"/>
        <v>3.3744838463619198</v>
      </c>
      <c r="M39" s="111">
        <f t="shared" si="33"/>
        <v>593.90915695969784</v>
      </c>
      <c r="O39" s="110">
        <f t="shared" si="34"/>
        <v>4</v>
      </c>
      <c r="P39" s="111">
        <f t="shared" si="7"/>
        <v>68.108848275194703</v>
      </c>
      <c r="Q39" s="111">
        <f t="shared" si="8"/>
        <v>272.43539310077881</v>
      </c>
      <c r="S39" s="110">
        <f t="shared" si="35"/>
        <v>2</v>
      </c>
      <c r="T39" s="111">
        <f t="shared" si="9"/>
        <v>68.108848275194703</v>
      </c>
      <c r="U39" s="111">
        <f t="shared" si="10"/>
        <v>136.21769655038941</v>
      </c>
      <c r="W39" s="109">
        <f t="shared" si="36"/>
        <v>8</v>
      </c>
      <c r="X39" s="111">
        <f t="shared" si="11"/>
        <v>204.32654482558419</v>
      </c>
      <c r="Y39" s="112">
        <f t="shared" si="12"/>
        <v>1634.6123586046735</v>
      </c>
      <c r="AA39" s="111">
        <f t="shared" si="13"/>
        <v>191.79988981091117</v>
      </c>
      <c r="AB39" s="111">
        <f t="shared" si="2"/>
        <v>2953.7183030880319</v>
      </c>
      <c r="AD39" s="111">
        <f t="shared" si="14"/>
        <v>15.4</v>
      </c>
      <c r="AE39" s="111">
        <f t="shared" si="15"/>
        <v>821.9995277610484</v>
      </c>
      <c r="AF39" s="112">
        <f t="shared" si="16"/>
        <v>12658.792727520145</v>
      </c>
      <c r="AG39" s="111">
        <f t="shared" si="37"/>
        <v>32</v>
      </c>
      <c r="AH39" s="111">
        <f t="shared" si="17"/>
        <v>205.4998819402621</v>
      </c>
      <c r="AI39" s="112">
        <f t="shared" si="18"/>
        <v>6575.9962220883872</v>
      </c>
      <c r="AJ39" s="112">
        <f t="shared" si="50"/>
        <v>19234.788949608534</v>
      </c>
      <c r="AL39" s="110">
        <f t="shared" si="38"/>
        <v>0.5</v>
      </c>
      <c r="AM39" s="111">
        <f t="shared" si="19"/>
        <v>265.65675246238521</v>
      </c>
      <c r="AN39" s="111">
        <f t="shared" si="20"/>
        <v>132.82837623119261</v>
      </c>
      <c r="AP39" s="111">
        <f t="shared" si="39"/>
        <v>36</v>
      </c>
      <c r="AQ39" s="111">
        <f t="shared" si="21"/>
        <v>61.649964582078518</v>
      </c>
      <c r="AR39" s="112">
        <f t="shared" si="22"/>
        <v>2219.3987249548268</v>
      </c>
      <c r="AS39" s="111">
        <f t="shared" si="40"/>
        <v>60</v>
      </c>
      <c r="AT39" s="111">
        <f t="shared" si="23"/>
        <v>61.649964582078518</v>
      </c>
      <c r="AU39" s="112">
        <f t="shared" si="24"/>
        <v>3698.9978749247111</v>
      </c>
      <c r="AV39" s="112">
        <f t="shared" si="25"/>
        <v>5918.3965998795375</v>
      </c>
      <c r="AX39" s="111">
        <f t="shared" si="41"/>
        <v>231</v>
      </c>
      <c r="AY39" s="111">
        <f t="shared" si="26"/>
        <v>61.649964582078518</v>
      </c>
      <c r="AZ39" s="112">
        <f t="shared" si="42"/>
        <v>14241.141818460137</v>
      </c>
      <c r="BB39" s="111">
        <f t="shared" si="27"/>
        <v>154</v>
      </c>
      <c r="BD39" s="112">
        <f t="shared" si="4"/>
        <v>45272.048652482968</v>
      </c>
      <c r="BF39" s="112">
        <f t="shared" si="5"/>
        <v>78701.102496630076</v>
      </c>
      <c r="BH39" s="110">
        <f t="shared" si="43"/>
        <v>5.3730286379648229</v>
      </c>
      <c r="BJ39" s="111">
        <f t="shared" si="49"/>
        <v>344.5487577390935</v>
      </c>
      <c r="BK39" s="111">
        <f t="shared" si="49"/>
        <v>388.53177678838853</v>
      </c>
      <c r="BL39" s="111">
        <f t="shared" si="49"/>
        <v>343.18480284023735</v>
      </c>
      <c r="BM39" s="111">
        <v>135.79803126078241</v>
      </c>
    </row>
    <row r="40" spans="1:65" s="100" customFormat="1" x14ac:dyDescent="0.2">
      <c r="A40" s="100">
        <f t="shared" si="6"/>
        <v>2054</v>
      </c>
      <c r="B40" s="112">
        <f t="shared" si="47"/>
        <v>3494.9143520013477</v>
      </c>
      <c r="C40" s="112">
        <f t="shared" si="28"/>
        <v>8307.8111679145895</v>
      </c>
      <c r="E40" s="110">
        <f t="shared" si="48"/>
        <v>11.992984753621394</v>
      </c>
      <c r="F40" s="15">
        <f t="shared" si="30"/>
        <v>15.4</v>
      </c>
      <c r="H40" s="112">
        <f t="shared" si="0"/>
        <v>41914.454538764759</v>
      </c>
      <c r="I40" s="112">
        <f t="shared" si="1"/>
        <v>127940.29198588469</v>
      </c>
      <c r="K40" s="105">
        <f t="shared" si="31"/>
        <v>176</v>
      </c>
      <c r="L40" s="109">
        <f t="shared" si="32"/>
        <v>3.3982846952027472</v>
      </c>
      <c r="M40" s="111">
        <f t="shared" si="33"/>
        <v>598.09810635568351</v>
      </c>
      <c r="O40" s="110">
        <f t="shared" si="34"/>
        <v>4</v>
      </c>
      <c r="P40" s="111">
        <f t="shared" si="7"/>
        <v>68.58923238023894</v>
      </c>
      <c r="Q40" s="111">
        <f t="shared" si="8"/>
        <v>274.35692952095576</v>
      </c>
      <c r="S40" s="110">
        <f t="shared" si="35"/>
        <v>2</v>
      </c>
      <c r="T40" s="111">
        <f t="shared" si="9"/>
        <v>68.58923238023894</v>
      </c>
      <c r="U40" s="111">
        <f t="shared" si="10"/>
        <v>137.17846476047788</v>
      </c>
      <c r="W40" s="109">
        <f t="shared" si="36"/>
        <v>8</v>
      </c>
      <c r="X40" s="111">
        <f t="shared" si="11"/>
        <v>205.76769714071688</v>
      </c>
      <c r="Y40" s="112">
        <f t="shared" si="12"/>
        <v>1646.141577125735</v>
      </c>
      <c r="AA40" s="111">
        <f t="shared" si="13"/>
        <v>197.93748628486034</v>
      </c>
      <c r="AB40" s="111">
        <f t="shared" si="2"/>
        <v>3048.2372887868491</v>
      </c>
      <c r="AD40" s="111">
        <f t="shared" si="14"/>
        <v>15.4</v>
      </c>
      <c r="AE40" s="111">
        <f t="shared" si="15"/>
        <v>848.30351264940202</v>
      </c>
      <c r="AF40" s="112">
        <f t="shared" si="16"/>
        <v>13063.874094800791</v>
      </c>
      <c r="AG40" s="111">
        <f t="shared" si="37"/>
        <v>32</v>
      </c>
      <c r="AH40" s="111">
        <f t="shared" si="17"/>
        <v>212.07587816235051</v>
      </c>
      <c r="AI40" s="112">
        <f t="shared" si="18"/>
        <v>6786.4281011952162</v>
      </c>
      <c r="AJ40" s="112">
        <f t="shared" si="50"/>
        <v>19850.302195996006</v>
      </c>
      <c r="AL40" s="110">
        <f t="shared" si="38"/>
        <v>0.5</v>
      </c>
      <c r="AM40" s="111">
        <f t="shared" si="19"/>
        <v>274.15776854118155</v>
      </c>
      <c r="AN40" s="111">
        <f t="shared" si="20"/>
        <v>137.07888427059078</v>
      </c>
      <c r="AP40" s="111">
        <f t="shared" si="39"/>
        <v>36</v>
      </c>
      <c r="AQ40" s="111">
        <f t="shared" si="21"/>
        <v>63.622763448705037</v>
      </c>
      <c r="AR40" s="112">
        <f t="shared" si="22"/>
        <v>2290.4194841533813</v>
      </c>
      <c r="AS40" s="111">
        <f t="shared" si="40"/>
        <v>60</v>
      </c>
      <c r="AT40" s="111">
        <f t="shared" si="23"/>
        <v>63.622763448705037</v>
      </c>
      <c r="AU40" s="112">
        <f t="shared" si="24"/>
        <v>3817.365806922302</v>
      </c>
      <c r="AV40" s="112">
        <f t="shared" si="25"/>
        <v>6107.7852910756828</v>
      </c>
      <c r="AX40" s="111">
        <f t="shared" si="41"/>
        <v>231</v>
      </c>
      <c r="AY40" s="111">
        <f t="shared" si="26"/>
        <v>63.622763448705037</v>
      </c>
      <c r="AZ40" s="112">
        <f t="shared" si="42"/>
        <v>14696.858356650864</v>
      </c>
      <c r="BB40" s="111">
        <f t="shared" si="27"/>
        <v>154</v>
      </c>
      <c r="BD40" s="112">
        <f t="shared" si="4"/>
        <v>46650.037094542844</v>
      </c>
      <c r="BF40" s="112">
        <f t="shared" si="5"/>
        <v>81290.254891341843</v>
      </c>
      <c r="BH40" s="110">
        <f t="shared" si="43"/>
        <v>5.3646718684236889</v>
      </c>
      <c r="BJ40" s="111">
        <f t="shared" si="49"/>
        <v>355.57431798674452</v>
      </c>
      <c r="BK40" s="111">
        <f t="shared" si="49"/>
        <v>400.96479364561696</v>
      </c>
      <c r="BL40" s="111">
        <f t="shared" si="49"/>
        <v>354.16671653112496</v>
      </c>
      <c r="BM40" s="111">
        <v>136.75583949518972</v>
      </c>
    </row>
    <row r="41" spans="1:65" s="100" customFormat="1" x14ac:dyDescent="0.2">
      <c r="A41" s="100">
        <f t="shared" si="6"/>
        <v>2055</v>
      </c>
      <c r="B41" s="112">
        <f t="shared" si="47"/>
        <v>3494.9143520013477</v>
      </c>
      <c r="C41" s="112">
        <f t="shared" si="28"/>
        <v>8573.6611252878574</v>
      </c>
      <c r="E41" s="110">
        <f>E7*0.802</f>
        <v>11.949800000000002</v>
      </c>
      <c r="F41" s="15">
        <f t="shared" si="30"/>
        <v>15.4</v>
      </c>
      <c r="H41" s="112">
        <f t="shared" si="0"/>
        <v>41763.527523545708</v>
      </c>
      <c r="I41" s="112">
        <f t="shared" si="1"/>
        <v>132034.381329433</v>
      </c>
      <c r="K41" s="105">
        <f t="shared" si="31"/>
        <v>176</v>
      </c>
      <c r="L41" s="109">
        <f t="shared" si="32"/>
        <v>3.4157589260761108</v>
      </c>
      <c r="M41" s="111">
        <f t="shared" si="33"/>
        <v>601.17357098939544</v>
      </c>
      <c r="O41" s="110">
        <f t="shared" si="34"/>
        <v>4</v>
      </c>
      <c r="P41" s="111">
        <f t="shared" si="7"/>
        <v>68.941923278600399</v>
      </c>
      <c r="Q41" s="111">
        <f t="shared" si="8"/>
        <v>275.7676931144016</v>
      </c>
      <c r="S41" s="110">
        <f t="shared" si="35"/>
        <v>2</v>
      </c>
      <c r="T41" s="111">
        <f t="shared" si="9"/>
        <v>68.941923278600399</v>
      </c>
      <c r="U41" s="111">
        <f t="shared" si="10"/>
        <v>137.8838465572008</v>
      </c>
      <c r="W41" s="109">
        <f t="shared" si="36"/>
        <v>8</v>
      </c>
      <c r="X41" s="111">
        <f t="shared" si="11"/>
        <v>206.82576983580128</v>
      </c>
      <c r="Y41" s="112">
        <f t="shared" si="12"/>
        <v>1654.6061586864103</v>
      </c>
      <c r="AA41" s="111">
        <f t="shared" si="13"/>
        <v>204.27148584597589</v>
      </c>
      <c r="AB41" s="111">
        <f t="shared" si="2"/>
        <v>3145.7808820280288</v>
      </c>
      <c r="AD41" s="111">
        <f t="shared" si="14"/>
        <v>15.4</v>
      </c>
      <c r="AE41" s="111">
        <f t="shared" si="15"/>
        <v>875.44922505418288</v>
      </c>
      <c r="AF41" s="112">
        <f t="shared" si="16"/>
        <v>13481.918065834416</v>
      </c>
      <c r="AG41" s="111">
        <f t="shared" si="37"/>
        <v>32</v>
      </c>
      <c r="AH41" s="111">
        <f t="shared" si="17"/>
        <v>218.86230626354572</v>
      </c>
      <c r="AI41" s="112">
        <f t="shared" si="18"/>
        <v>7003.593800433463</v>
      </c>
      <c r="AJ41" s="112">
        <f t="shared" si="50"/>
        <v>20485.51186626788</v>
      </c>
      <c r="AL41" s="110">
        <f t="shared" si="38"/>
        <v>0.5</v>
      </c>
      <c r="AM41" s="111">
        <f t="shared" si="19"/>
        <v>282.93081713449936</v>
      </c>
      <c r="AN41" s="111">
        <f t="shared" si="20"/>
        <v>141.46540856724968</v>
      </c>
      <c r="AP41" s="111">
        <f t="shared" si="39"/>
        <v>36</v>
      </c>
      <c r="AQ41" s="111">
        <f t="shared" si="21"/>
        <v>65.658691879063596</v>
      </c>
      <c r="AR41" s="112">
        <f t="shared" si="22"/>
        <v>2363.7129076462893</v>
      </c>
      <c r="AS41" s="111">
        <f t="shared" si="40"/>
        <v>60</v>
      </c>
      <c r="AT41" s="111">
        <f t="shared" si="23"/>
        <v>65.658691879063596</v>
      </c>
      <c r="AU41" s="112">
        <f t="shared" si="24"/>
        <v>3939.5215127438159</v>
      </c>
      <c r="AV41" s="112">
        <f t="shared" si="25"/>
        <v>6303.2344203901048</v>
      </c>
      <c r="AX41" s="111">
        <f t="shared" si="41"/>
        <v>231</v>
      </c>
      <c r="AY41" s="111">
        <f t="shared" si="26"/>
        <v>65.658691879063596</v>
      </c>
      <c r="AZ41" s="112">
        <f t="shared" si="42"/>
        <v>15167.15782406369</v>
      </c>
      <c r="BB41" s="111">
        <f t="shared" si="27"/>
        <v>154</v>
      </c>
      <c r="BD41" s="112">
        <f t="shared" si="4"/>
        <v>48066.58167066436</v>
      </c>
      <c r="BF41" s="112">
        <f t="shared" si="5"/>
        <v>83967.799658768636</v>
      </c>
      <c r="BH41" s="110">
        <f t="shared" si="43"/>
        <v>5.3559121696587439</v>
      </c>
      <c r="BJ41" s="111">
        <f t="shared" si="49"/>
        <v>366.95269616232036</v>
      </c>
      <c r="BK41" s="111">
        <f t="shared" si="49"/>
        <v>413.7956670422767</v>
      </c>
      <c r="BL41" s="111">
        <f t="shared" si="49"/>
        <v>365.50005146012097</v>
      </c>
      <c r="BM41" s="111">
        <v>137.45904812158676</v>
      </c>
    </row>
    <row r="42" spans="1:65" x14ac:dyDescent="0.2">
      <c r="A42" s="8"/>
      <c r="E42" s="14"/>
      <c r="F42" s="71"/>
      <c r="BB42" s="7"/>
    </row>
  </sheetData>
  <mergeCells count="47">
    <mergeCell ref="BJ6:BM6"/>
    <mergeCell ref="BJ3:BM3"/>
    <mergeCell ref="AY5:AY6"/>
    <mergeCell ref="AZ5:AZ6"/>
    <mergeCell ref="BD5:BD6"/>
    <mergeCell ref="BF5:BF6"/>
    <mergeCell ref="BH5:BH6"/>
    <mergeCell ref="AX4:AZ4"/>
    <mergeCell ref="AX5:AX6"/>
    <mergeCell ref="E6:F6"/>
    <mergeCell ref="H6:I6"/>
    <mergeCell ref="AM5:AM6"/>
    <mergeCell ref="AN5:AN6"/>
    <mergeCell ref="AP5:AR5"/>
    <mergeCell ref="S5:S6"/>
    <mergeCell ref="T5:T6"/>
    <mergeCell ref="U5:U6"/>
    <mergeCell ref="W5:W6"/>
    <mergeCell ref="X5:X6"/>
    <mergeCell ref="Y5:Y6"/>
    <mergeCell ref="K5:K6"/>
    <mergeCell ref="L5:L6"/>
    <mergeCell ref="M5:M6"/>
    <mergeCell ref="O5:O6"/>
    <mergeCell ref="P5:P6"/>
    <mergeCell ref="AL4:AN4"/>
    <mergeCell ref="AA5:AA6"/>
    <mergeCell ref="AB5:AB6"/>
    <mergeCell ref="AD5:AF5"/>
    <mergeCell ref="AG5:AI5"/>
    <mergeCell ref="AJ5:AJ6"/>
    <mergeCell ref="AP4:AV4"/>
    <mergeCell ref="AS5:AU5"/>
    <mergeCell ref="AV5:AV6"/>
    <mergeCell ref="B3:H3"/>
    <mergeCell ref="K3:BD3"/>
    <mergeCell ref="B4:C4"/>
    <mergeCell ref="E4:F4"/>
    <mergeCell ref="H4:I4"/>
    <mergeCell ref="K4:M4"/>
    <mergeCell ref="O4:Q4"/>
    <mergeCell ref="S4:U4"/>
    <mergeCell ref="W4:Y4"/>
    <mergeCell ref="AL5:AL6"/>
    <mergeCell ref="Q5:Q6"/>
    <mergeCell ref="AA4:AB4"/>
    <mergeCell ref="AD4:AJ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BM42"/>
  <sheetViews>
    <sheetView workbookViewId="0"/>
  </sheetViews>
  <sheetFormatPr baseColWidth="10" defaultColWidth="8.83203125" defaultRowHeight="15" x14ac:dyDescent="0.2"/>
  <cols>
    <col min="2" max="2" width="16.1640625" bestFit="1" customWidth="1"/>
    <col min="3" max="3" width="16.6640625" bestFit="1" customWidth="1"/>
    <col min="4" max="4" width="0.83203125" customWidth="1"/>
    <col min="5" max="5" width="11.5" bestFit="1" customWidth="1"/>
    <col min="6" max="6" width="12.1640625" bestFit="1" customWidth="1"/>
    <col min="7" max="7" width="0.83203125" customWidth="1"/>
    <col min="8" max="8" width="10.5" customWidth="1"/>
    <col min="9" max="9" width="11.5" customWidth="1"/>
    <col min="10" max="10" width="5.5" customWidth="1"/>
    <col min="12" max="12" width="9.83203125" customWidth="1"/>
    <col min="14" max="14" width="0.83203125" customWidth="1"/>
    <col min="15" max="15" width="12.5" customWidth="1"/>
    <col min="16" max="16" width="10.1640625" customWidth="1"/>
    <col min="18" max="18" width="0.83203125" customWidth="1"/>
    <col min="19" max="19" width="12.5" customWidth="1"/>
    <col min="20" max="21" width="9.6640625" customWidth="1"/>
    <col min="22" max="22" width="0.83203125" customWidth="1"/>
    <col min="23" max="23" width="12.5" customWidth="1"/>
    <col min="24" max="24" width="9.6640625" customWidth="1"/>
    <col min="26" max="26" width="0.83203125" customWidth="1"/>
    <col min="27" max="27" width="13.5" customWidth="1"/>
    <col min="28" max="28" width="10.1640625" customWidth="1"/>
    <col min="29" max="29" width="0.83203125" customWidth="1"/>
    <col min="30" max="30" width="12.6640625" bestFit="1" customWidth="1"/>
    <col min="32" max="32" width="14.83203125" customWidth="1"/>
    <col min="33" max="33" width="12.6640625" bestFit="1" customWidth="1"/>
    <col min="35" max="35" width="14.83203125" customWidth="1"/>
    <col min="36" max="36" width="9.1640625" customWidth="1"/>
    <col min="37" max="37" width="0.83203125" customWidth="1"/>
    <col min="38" max="39" width="9.6640625" customWidth="1"/>
    <col min="40" max="40" width="10" customWidth="1"/>
    <col min="41" max="41" width="0.83203125" customWidth="1"/>
    <col min="42" max="42" width="12.6640625" bestFit="1" customWidth="1"/>
    <col min="43" max="43" width="9.6640625" customWidth="1"/>
    <col min="44" max="44" width="14.83203125" bestFit="1" customWidth="1"/>
    <col min="45" max="45" width="12.6640625" bestFit="1" customWidth="1"/>
    <col min="46" max="46" width="9.6640625" customWidth="1"/>
    <col min="47" max="47" width="14.83203125" bestFit="1" customWidth="1"/>
    <col min="48" max="48" width="10" customWidth="1"/>
    <col min="49" max="49" width="0.83203125" customWidth="1"/>
    <col min="50" max="52" width="9.6640625" customWidth="1"/>
    <col min="53" max="53" width="0.83203125" customWidth="1"/>
    <col min="54" max="54" width="12.5" bestFit="1" customWidth="1"/>
    <col min="55" max="55" width="0.83203125" customWidth="1"/>
    <col min="56" max="56" width="12.5" bestFit="1" customWidth="1"/>
    <col min="57" max="57" width="5.6640625" customWidth="1"/>
    <col min="59" max="59" width="5.6640625" customWidth="1"/>
    <col min="60" max="60" width="15.83203125" bestFit="1" customWidth="1"/>
    <col min="62" max="64" width="10.6640625" hidden="1" customWidth="1"/>
    <col min="65" max="65" width="9.33203125" hidden="1" customWidth="1"/>
  </cols>
  <sheetData>
    <row r="1" spans="1:65" x14ac:dyDescent="0.2">
      <c r="A1" s="2" t="s">
        <v>71</v>
      </c>
    </row>
    <row r="2" spans="1:65" x14ac:dyDescent="0.2">
      <c r="BB2" s="103" t="s">
        <v>46</v>
      </c>
    </row>
    <row r="3" spans="1:65" x14ac:dyDescent="0.2">
      <c r="B3" s="252" t="s">
        <v>0</v>
      </c>
      <c r="C3" s="252"/>
      <c r="D3" s="252"/>
      <c r="E3" s="252"/>
      <c r="F3" s="252"/>
      <c r="G3" s="252"/>
      <c r="H3" s="252"/>
      <c r="I3" s="50"/>
      <c r="K3" s="265" t="s">
        <v>1</v>
      </c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F3" s="13" t="s">
        <v>2</v>
      </c>
      <c r="BH3" s="17" t="s">
        <v>3</v>
      </c>
      <c r="BJ3" s="251" t="s">
        <v>4</v>
      </c>
      <c r="BK3" s="251"/>
      <c r="BL3" s="251"/>
      <c r="BM3" s="251"/>
    </row>
    <row r="4" spans="1:65" x14ac:dyDescent="0.2">
      <c r="B4" s="253" t="s">
        <v>47</v>
      </c>
      <c r="C4" s="253"/>
      <c r="D4" s="3"/>
      <c r="E4" s="253" t="s">
        <v>48</v>
      </c>
      <c r="F4" s="253"/>
      <c r="G4" s="3"/>
      <c r="H4" s="253" t="s">
        <v>49</v>
      </c>
      <c r="I4" s="253"/>
      <c r="K4" s="242" t="s">
        <v>10</v>
      </c>
      <c r="L4" s="242"/>
      <c r="M4" s="242"/>
      <c r="N4" s="3"/>
      <c r="O4" s="242" t="s">
        <v>11</v>
      </c>
      <c r="P4" s="242"/>
      <c r="Q4" s="242"/>
      <c r="R4" s="3"/>
      <c r="S4" s="242" t="s">
        <v>12</v>
      </c>
      <c r="T4" s="242"/>
      <c r="U4" s="242"/>
      <c r="V4" s="3"/>
      <c r="W4" s="242" t="s">
        <v>13</v>
      </c>
      <c r="X4" s="242"/>
      <c r="Y4" s="242"/>
      <c r="Z4" s="3"/>
      <c r="AA4" s="242" t="s">
        <v>15</v>
      </c>
      <c r="AB4" s="242"/>
      <c r="AC4" s="3"/>
      <c r="AD4" s="242" t="s">
        <v>16</v>
      </c>
      <c r="AE4" s="242"/>
      <c r="AF4" s="242"/>
      <c r="AG4" s="242"/>
      <c r="AH4" s="242"/>
      <c r="AI4" s="242"/>
      <c r="AJ4" s="242"/>
      <c r="AK4" s="12"/>
      <c r="AL4" s="242" t="s">
        <v>17</v>
      </c>
      <c r="AM4" s="242"/>
      <c r="AN4" s="242"/>
      <c r="AO4" s="3"/>
      <c r="AP4" s="242" t="s">
        <v>72</v>
      </c>
      <c r="AQ4" s="242"/>
      <c r="AR4" s="242"/>
      <c r="AS4" s="242"/>
      <c r="AT4" s="242"/>
      <c r="AU4" s="242"/>
      <c r="AV4" s="242"/>
      <c r="AW4" s="3"/>
      <c r="AX4" s="242" t="s">
        <v>19</v>
      </c>
      <c r="AY4" s="242"/>
      <c r="AZ4" s="242"/>
      <c r="BA4" s="3"/>
      <c r="BB4" s="23" t="s">
        <v>23</v>
      </c>
      <c r="BC4" s="12"/>
      <c r="BD4" s="9" t="s">
        <v>25</v>
      </c>
      <c r="BJ4" s="3"/>
      <c r="BK4" s="3"/>
      <c r="BL4" s="3"/>
      <c r="BM4" s="3"/>
    </row>
    <row r="5" spans="1:65" ht="15" customHeight="1" x14ac:dyDescent="0.2">
      <c r="B5" t="s">
        <v>50</v>
      </c>
      <c r="C5" t="s">
        <v>75</v>
      </c>
      <c r="D5" s="1"/>
      <c r="E5" t="s">
        <v>74</v>
      </c>
      <c r="F5" s="11" t="s">
        <v>75</v>
      </c>
      <c r="G5" s="1"/>
      <c r="H5" t="s">
        <v>74</v>
      </c>
      <c r="I5" s="11" t="s">
        <v>75</v>
      </c>
      <c r="K5" s="243" t="s">
        <v>26</v>
      </c>
      <c r="L5" s="243" t="s">
        <v>27</v>
      </c>
      <c r="M5" s="243" t="s">
        <v>28</v>
      </c>
      <c r="N5" s="10"/>
      <c r="O5" s="243" t="s">
        <v>29</v>
      </c>
      <c r="P5" s="243" t="s">
        <v>30</v>
      </c>
      <c r="Q5" s="243" t="s">
        <v>28</v>
      </c>
      <c r="R5" s="10"/>
      <c r="S5" s="243" t="s">
        <v>29</v>
      </c>
      <c r="T5" s="243" t="s">
        <v>30</v>
      </c>
      <c r="U5" s="243" t="s">
        <v>28</v>
      </c>
      <c r="V5" s="10"/>
      <c r="W5" s="243" t="s">
        <v>29</v>
      </c>
      <c r="X5" s="243" t="s">
        <v>30</v>
      </c>
      <c r="Y5" s="243" t="s">
        <v>28</v>
      </c>
      <c r="Z5" s="10"/>
      <c r="AA5" s="244" t="s">
        <v>76</v>
      </c>
      <c r="AB5" s="243" t="s">
        <v>28</v>
      </c>
      <c r="AC5" s="10"/>
      <c r="AD5" s="254" t="s">
        <v>77</v>
      </c>
      <c r="AE5" s="255"/>
      <c r="AF5" s="256"/>
      <c r="AG5" s="254" t="s">
        <v>53</v>
      </c>
      <c r="AH5" s="255"/>
      <c r="AI5" s="256"/>
      <c r="AJ5" s="241" t="s">
        <v>28</v>
      </c>
      <c r="AK5" s="11"/>
      <c r="AL5" s="241" t="s">
        <v>32</v>
      </c>
      <c r="AM5" s="247" t="s">
        <v>33</v>
      </c>
      <c r="AN5" s="243" t="s">
        <v>28</v>
      </c>
      <c r="AO5" s="10"/>
      <c r="AP5" s="254" t="s">
        <v>17</v>
      </c>
      <c r="AQ5" s="255"/>
      <c r="AR5" s="256"/>
      <c r="AS5" s="254" t="s">
        <v>53</v>
      </c>
      <c r="AT5" s="255"/>
      <c r="AU5" s="256"/>
      <c r="AV5" s="241" t="s">
        <v>28</v>
      </c>
      <c r="AW5" s="10"/>
      <c r="AX5" s="241" t="s">
        <v>35</v>
      </c>
      <c r="AY5" s="247" t="s">
        <v>33</v>
      </c>
      <c r="AZ5" s="243" t="s">
        <v>28</v>
      </c>
      <c r="BA5" s="10"/>
      <c r="BB5" s="11"/>
      <c r="BC5" s="11"/>
      <c r="BD5" s="241" t="s">
        <v>37</v>
      </c>
      <c r="BF5" s="241" t="s">
        <v>37</v>
      </c>
      <c r="BH5" s="241" t="s">
        <v>38</v>
      </c>
      <c r="BJ5" s="10" t="s">
        <v>39</v>
      </c>
      <c r="BK5" s="10" t="s">
        <v>40</v>
      </c>
      <c r="BL5" s="10" t="s">
        <v>41</v>
      </c>
      <c r="BM5" t="s">
        <v>10</v>
      </c>
    </row>
    <row r="6" spans="1:65" ht="16" x14ac:dyDescent="0.2">
      <c r="B6" s="1" t="s">
        <v>78</v>
      </c>
      <c r="C6" s="1" t="s">
        <v>78</v>
      </c>
      <c r="D6" s="1"/>
      <c r="E6" s="247" t="s">
        <v>38</v>
      </c>
      <c r="F6" s="247"/>
      <c r="G6" s="1"/>
      <c r="H6" s="241" t="s">
        <v>37</v>
      </c>
      <c r="I6" s="241"/>
      <c r="K6" s="243"/>
      <c r="L6" s="243"/>
      <c r="M6" s="243"/>
      <c r="N6" s="10"/>
      <c r="O6" s="243"/>
      <c r="P6" s="243"/>
      <c r="Q6" s="243"/>
      <c r="R6" s="10"/>
      <c r="S6" s="243"/>
      <c r="T6" s="243"/>
      <c r="U6" s="243"/>
      <c r="V6" s="10"/>
      <c r="W6" s="243"/>
      <c r="X6" s="243"/>
      <c r="Y6" s="243"/>
      <c r="Z6" s="10"/>
      <c r="AA6" s="244"/>
      <c r="AB6" s="243"/>
      <c r="AC6" s="10"/>
      <c r="AD6" s="18" t="s">
        <v>79</v>
      </c>
      <c r="AE6" s="18" t="s">
        <v>33</v>
      </c>
      <c r="AF6" s="19" t="s">
        <v>28</v>
      </c>
      <c r="AG6" s="18" t="s">
        <v>35</v>
      </c>
      <c r="AH6" s="18" t="s">
        <v>33</v>
      </c>
      <c r="AI6" s="19" t="s">
        <v>28</v>
      </c>
      <c r="AJ6" s="241"/>
      <c r="AK6" s="11"/>
      <c r="AL6" s="241"/>
      <c r="AM6" s="247"/>
      <c r="AN6" s="243"/>
      <c r="AO6" s="10"/>
      <c r="AP6" s="11" t="s">
        <v>35</v>
      </c>
      <c r="AQ6" s="11" t="s">
        <v>33</v>
      </c>
      <c r="AR6" s="10" t="s">
        <v>28</v>
      </c>
      <c r="AS6" s="11" t="s">
        <v>35</v>
      </c>
      <c r="AT6" s="11" t="s">
        <v>33</v>
      </c>
      <c r="AU6" s="10" t="s">
        <v>28</v>
      </c>
      <c r="AV6" s="241"/>
      <c r="AW6" s="10"/>
      <c r="AX6" s="241"/>
      <c r="AY6" s="247"/>
      <c r="AZ6" s="243"/>
      <c r="BA6" s="10"/>
      <c r="BB6" s="11" t="s">
        <v>80</v>
      </c>
      <c r="BC6" s="11"/>
      <c r="BD6" s="241"/>
      <c r="BF6" s="241"/>
      <c r="BH6" s="241"/>
      <c r="BJ6" s="249" t="s">
        <v>81</v>
      </c>
      <c r="BK6" s="249"/>
      <c r="BL6" s="249"/>
      <c r="BM6" s="249"/>
    </row>
    <row r="7" spans="1:65" x14ac:dyDescent="0.2">
      <c r="A7">
        <v>2021</v>
      </c>
      <c r="B7" s="52">
        <f>+'Grapes Margin - Baseline'!B7</f>
        <v>3566.9382174605998</v>
      </c>
      <c r="C7" s="52">
        <f>+'Grapes Margin - Baseline'!C7</f>
        <v>3000</v>
      </c>
      <c r="E7" s="27">
        <f>+'Grapes Margin - Baseline'!E7</f>
        <v>14.9</v>
      </c>
      <c r="F7" s="27">
        <f>+'Grapes Margin - Baseline'!F7</f>
        <v>15.4</v>
      </c>
      <c r="H7" s="20">
        <f t="shared" ref="H7:H41" si="0">+B7*E7</f>
        <v>53147.379440162942</v>
      </c>
      <c r="I7" s="20">
        <f t="shared" ref="I7:I41" si="1">+C7*F7</f>
        <v>46200</v>
      </c>
      <c r="J7" s="53"/>
      <c r="K7" s="52">
        <f>+'Grapes Margin - Baseline'!K7</f>
        <v>176</v>
      </c>
      <c r="L7" s="44">
        <f>+'Grapes Margin - Baseline'!L7</f>
        <v>2.4772727272727271</v>
      </c>
      <c r="M7" s="6">
        <f>+K7*L7</f>
        <v>435.99999999999994</v>
      </c>
      <c r="O7" s="27">
        <f>+'Grapes Margin - Baseline'!O7</f>
        <v>4</v>
      </c>
      <c r="P7" s="45">
        <f>+'Grapes Margin - Baseline'!P7</f>
        <v>50</v>
      </c>
      <c r="Q7" s="6">
        <f>+O7*P7</f>
        <v>200</v>
      </c>
      <c r="S7" s="27">
        <f>+'Grapes Margin - Baseline'!S7</f>
        <v>2</v>
      </c>
      <c r="T7" s="45">
        <f>+'Grapes Margin - Baseline'!T7</f>
        <v>50</v>
      </c>
      <c r="U7" s="6">
        <f>+S7*T7</f>
        <v>100</v>
      </c>
      <c r="W7" s="44">
        <f>+'Grapes Margin - Baseline'!W7</f>
        <v>8</v>
      </c>
      <c r="X7" s="45">
        <f>+'Grapes Margin - Baseline'!X7</f>
        <v>150</v>
      </c>
      <c r="Y7" s="21">
        <f>+W7*X7</f>
        <v>1200</v>
      </c>
      <c r="AA7" s="52">
        <f>+'Grapes Margin - Baseline'!AA7</f>
        <v>70</v>
      </c>
      <c r="AB7" s="6">
        <f t="shared" ref="AB7:AB41" si="2">+AA7*F7</f>
        <v>1078</v>
      </c>
      <c r="AD7" s="52">
        <f>+'Grapes Margin - Baseline'!AD7</f>
        <v>15.4</v>
      </c>
      <c r="AE7" s="52">
        <f>+'Grapes Margin - Baseline'!AE7</f>
        <v>300</v>
      </c>
      <c r="AF7" s="21">
        <f>+AD7*AE7</f>
        <v>4620</v>
      </c>
      <c r="AG7" s="52">
        <f>+'Grapes Margin - Baseline'!AG7</f>
        <v>32</v>
      </c>
      <c r="AH7" s="52">
        <f>+'Grapes Margin - Baseline'!AH7</f>
        <v>75</v>
      </c>
      <c r="AI7" s="21">
        <f>+AG7*AH7</f>
        <v>2400</v>
      </c>
      <c r="AJ7" s="21">
        <f t="shared" ref="AJ7:AJ41" si="3">+AF7+AI7</f>
        <v>7020</v>
      </c>
      <c r="AL7" s="27">
        <f>+'Grapes Margin - Baseline'!AL7</f>
        <v>0.5</v>
      </c>
      <c r="AM7" s="52">
        <f>+'Grapes Margin - Baseline'!AM7</f>
        <v>99</v>
      </c>
      <c r="AN7" s="6">
        <f>+AL7*AM7</f>
        <v>49.5</v>
      </c>
      <c r="AP7" s="52">
        <f>+'Grapes Margin - Baseline'!AP7</f>
        <v>36</v>
      </c>
      <c r="AQ7" s="52">
        <f>+'Grapes Margin - Baseline'!AQ7</f>
        <v>22.5</v>
      </c>
      <c r="AR7" s="21">
        <f>+AP7*AQ7</f>
        <v>810</v>
      </c>
      <c r="AS7" s="52">
        <f>+'Grapes Margin - Baseline'!AS7</f>
        <v>60</v>
      </c>
      <c r="AT7" s="52">
        <f>+'Grapes Margin - Baseline'!AT7</f>
        <v>22.5</v>
      </c>
      <c r="AU7" s="21">
        <f>+AS7*AT7</f>
        <v>1350</v>
      </c>
      <c r="AV7" s="21">
        <f>+AR7+AU7</f>
        <v>2160</v>
      </c>
      <c r="AX7" s="52">
        <f>+'Grapes Margin - Baseline'!AX7</f>
        <v>231</v>
      </c>
      <c r="AY7" s="52">
        <f>+'Grapes Margin - Baseline'!AY7</f>
        <v>22.5</v>
      </c>
      <c r="AZ7" s="21">
        <f>+AX7*AY7</f>
        <v>5197.5</v>
      </c>
      <c r="BB7" s="6">
        <f>10*F7</f>
        <v>154</v>
      </c>
      <c r="BD7" s="21">
        <f>+M7+Q7+U7+Y7+AB7+AJ7+AN7+AV7+AZ7+BB7</f>
        <v>17595</v>
      </c>
      <c r="BF7" s="21">
        <f t="shared" ref="BF7:BF41" si="4">+I7-BD7</f>
        <v>28605</v>
      </c>
      <c r="BH7" s="51">
        <f>+(M7+Q7+U7+Y7+AF7+AI7+AN7+AR7+AU7+AZ7)/(C7-AA7-11)</f>
        <v>5.6056868790681742</v>
      </c>
      <c r="BJ7" s="4">
        <f>+'Almonds Margin - Alter.Ex.Rate'!BN7</f>
        <v>128.4</v>
      </c>
      <c r="BK7" s="4">
        <f>+'Almonds Margin - Alter.Ex.Rate'!BO7</f>
        <v>141.80000000000001</v>
      </c>
      <c r="BL7" s="4">
        <f>+'Almonds Margin - Alter.Ex.Rate'!BP7</f>
        <v>76.917089432293665</v>
      </c>
      <c r="BM7" s="4">
        <f>+'Almonds Margin - Alter.Ex.Rate'!BQ7</f>
        <v>99.691915734713831</v>
      </c>
    </row>
    <row r="8" spans="1:65" x14ac:dyDescent="0.2">
      <c r="A8" s="8">
        <f t="shared" ref="A8:A41" si="5">+A7+1</f>
        <v>2022</v>
      </c>
      <c r="B8" s="22">
        <f>+'Grapes Margin - Baseline'!B8</f>
        <v>3638.2769818098118</v>
      </c>
      <c r="C8" s="22">
        <f>+C7*BJ8/BJ7</f>
        <v>3043.9252336448599</v>
      </c>
      <c r="E8" s="15">
        <f>E7*((E$21/E$7)^(1/($A$21-$A$7)))</f>
        <v>14.742788817361202</v>
      </c>
      <c r="F8" s="15">
        <f>F7*((F$21/F$7)^(1/($A$21-$A$7)))</f>
        <v>15.237513274319632</v>
      </c>
      <c r="H8" s="22">
        <f t="shared" si="0"/>
        <v>53638.349201888355</v>
      </c>
      <c r="I8" s="22">
        <f t="shared" si="1"/>
        <v>46381.851153700038</v>
      </c>
      <c r="K8" s="54">
        <f>+K7</f>
        <v>176</v>
      </c>
      <c r="L8" s="14">
        <f t="shared" ref="L8:L41" si="6">+L7*$BM8/$BM7</f>
        <v>2.4637603305785123</v>
      </c>
      <c r="M8" s="7">
        <f t="shared" ref="M8:M41" si="7">+K8*L8</f>
        <v>433.62181818181818</v>
      </c>
      <c r="O8" s="15">
        <f>+O7</f>
        <v>4</v>
      </c>
      <c r="P8" s="7">
        <f t="shared" ref="P8:P41" si="8">+P7*$BM8/$BM7</f>
        <v>49.727272727272727</v>
      </c>
      <c r="Q8" s="7">
        <f t="shared" ref="Q8:Q41" si="9">+O8*P8</f>
        <v>198.90909090909091</v>
      </c>
      <c r="S8" s="15">
        <f>+S7</f>
        <v>2</v>
      </c>
      <c r="T8" s="7">
        <f t="shared" ref="T8:T41" si="10">+T7*$BM8/$BM7</f>
        <v>49.727272727272727</v>
      </c>
      <c r="U8" s="7">
        <f t="shared" ref="U8:U41" si="11">+S8*T8</f>
        <v>99.454545454545453</v>
      </c>
      <c r="W8" s="14">
        <f>+W7</f>
        <v>8</v>
      </c>
      <c r="X8" s="7">
        <f t="shared" ref="X8:X41" si="12">+X7*$BM8/$BM7</f>
        <v>149.18181818181819</v>
      </c>
      <c r="Y8" s="22">
        <f t="shared" ref="Y8:Y41" si="13">+W8*X8</f>
        <v>1193.4545454545455</v>
      </c>
      <c r="AA8" s="7">
        <f t="shared" ref="AA8:AA41" si="14">+AA7*(0.5*$BK8/$BK7+0.5*$BL8/$BL7)</f>
        <v>71.12</v>
      </c>
      <c r="AB8" s="7">
        <f t="shared" si="2"/>
        <v>1083.6919440696122</v>
      </c>
      <c r="AD8" s="7">
        <f>+AD7</f>
        <v>15.4</v>
      </c>
      <c r="AE8" s="7">
        <f t="shared" ref="AE8:AE41" si="15">+AE7*(0.5*$BK8/$BK7+0.5*$BL8/$BL7)</f>
        <v>304.8</v>
      </c>
      <c r="AF8" s="22">
        <f t="shared" ref="AF8:AF41" si="16">+AD8*AE8</f>
        <v>4693.92</v>
      </c>
      <c r="AG8" s="7">
        <f>+AG7</f>
        <v>32</v>
      </c>
      <c r="AH8" s="7">
        <f t="shared" ref="AH8:AH41" si="17">+AH7*(0.5*$BK8/$BK7+0.5*$BL8/$BL7)</f>
        <v>76.2</v>
      </c>
      <c r="AI8" s="22">
        <f t="shared" ref="AI8:AI41" si="18">+AG8*AH8</f>
        <v>2438.4</v>
      </c>
      <c r="AJ8" s="22">
        <f t="shared" si="3"/>
        <v>7132.32</v>
      </c>
      <c r="AL8" s="15">
        <f>+AL7</f>
        <v>0.5</v>
      </c>
      <c r="AM8" s="7">
        <f t="shared" ref="AM8:AM41" si="19">+AM7*BJ8/BJ7</f>
        <v>100.44953271028037</v>
      </c>
      <c r="AN8" s="7">
        <f t="shared" ref="AN8:AN41" si="20">+AL8*AM8</f>
        <v>50.224766355140183</v>
      </c>
      <c r="AP8" s="7">
        <f>+AP7</f>
        <v>36</v>
      </c>
      <c r="AQ8" s="7">
        <f t="shared" ref="AQ8:AQ41" si="21">+AQ7*$BK8/$BK7</f>
        <v>23.22</v>
      </c>
      <c r="AR8" s="22">
        <f t="shared" ref="AR8:AR41" si="22">+AP8*AQ8</f>
        <v>835.92</v>
      </c>
      <c r="AS8" s="7">
        <f>+AS7</f>
        <v>60</v>
      </c>
      <c r="AT8" s="7">
        <f t="shared" ref="AT8:AT41" si="23">+AT7*$BK8/$BK7</f>
        <v>23.22</v>
      </c>
      <c r="AU8" s="22">
        <f t="shared" ref="AU8:AU41" si="24">+AS8*AT8</f>
        <v>1393.1999999999998</v>
      </c>
      <c r="AV8" s="22">
        <f t="shared" ref="AV8:AV41" si="25">+AR8+AU8</f>
        <v>2229.12</v>
      </c>
      <c r="AX8" s="7">
        <f>+AX7</f>
        <v>231</v>
      </c>
      <c r="AY8" s="7">
        <f t="shared" ref="AY8:AY41" si="26">+AY7*$BK8/$BK7</f>
        <v>23.22</v>
      </c>
      <c r="AZ8" s="22">
        <f>+AX8*AY8</f>
        <v>5363.82</v>
      </c>
      <c r="BB8" s="7">
        <f>10*F8</f>
        <v>152.37513274319633</v>
      </c>
      <c r="BD8" s="22">
        <f t="shared" ref="BD8:BD41" si="27">+M8+Q8+U8+Y8+AB8+AJ8+AN8+AV8+AZ8+BB8</f>
        <v>17936.991843167951</v>
      </c>
      <c r="BF8" s="22">
        <f t="shared" si="4"/>
        <v>28444.859310532087</v>
      </c>
      <c r="BH8" s="15">
        <f t="shared" ref="BH8:BH41" si="28">+(M8+Q8+U8+Y8+AF8+AI8+AN8+AR8+AU8+AZ8)/(C8-AA8-11)</f>
        <v>5.63876536398804</v>
      </c>
      <c r="BJ8" s="7">
        <f>+'Almonds Margin - Alter.Ex.Rate'!BN8</f>
        <v>130.28</v>
      </c>
      <c r="BK8" s="7">
        <f>+'Almonds Margin - Alter.Ex.Rate'!BO8</f>
        <v>146.33760000000001</v>
      </c>
      <c r="BL8" s="7">
        <f>+'Almonds Margin - Alter.Ex.Rate'!BP8</f>
        <v>76.917089432293665</v>
      </c>
      <c r="BM8" s="7">
        <f>+'Almonds Margin - Alter.Ex.Rate'!BQ8</f>
        <v>99.148141648888128</v>
      </c>
    </row>
    <row r="9" spans="1:65" x14ac:dyDescent="0.2">
      <c r="A9" s="8">
        <f t="shared" si="5"/>
        <v>2023</v>
      </c>
      <c r="B9" s="22">
        <f>+'Grapes Margin - Baseline'!B9</f>
        <v>3601.8942119917137</v>
      </c>
      <c r="C9" s="22">
        <f t="shared" ref="C9:C41" si="29">+C8*BJ9/BJ8</f>
        <v>3150.467289719626</v>
      </c>
      <c r="E9" s="15">
        <f t="shared" ref="E9:F20" si="30">E8*((E$21/E$7)^(1/($A$21-$A$7)))</f>
        <v>14.587236383443658</v>
      </c>
      <c r="F9" s="15">
        <f t="shared" si="30"/>
        <v>15.076740960069284</v>
      </c>
      <c r="H9" s="22">
        <f t="shared" si="0"/>
        <v>52541.682298480649</v>
      </c>
      <c r="I9" s="22">
        <f t="shared" si="1"/>
        <v>47498.779230274347</v>
      </c>
      <c r="K9" s="54">
        <f t="shared" ref="K9:K41" si="31">+K8</f>
        <v>176</v>
      </c>
      <c r="L9" s="14">
        <f t="shared" si="6"/>
        <v>2.3382450835962896</v>
      </c>
      <c r="M9" s="7">
        <f t="shared" si="7"/>
        <v>411.53113471294694</v>
      </c>
      <c r="O9" s="15">
        <f t="shared" ref="O9:O41" si="32">+O8</f>
        <v>4</v>
      </c>
      <c r="P9" s="7">
        <f t="shared" si="8"/>
        <v>47.193937467081071</v>
      </c>
      <c r="Q9" s="7">
        <f t="shared" si="9"/>
        <v>188.77574986832428</v>
      </c>
      <c r="S9" s="15">
        <f t="shared" ref="S9:S41" si="33">+S8</f>
        <v>2</v>
      </c>
      <c r="T9" s="7">
        <f t="shared" si="10"/>
        <v>47.193937467081071</v>
      </c>
      <c r="U9" s="7">
        <f t="shared" si="11"/>
        <v>94.387874934162141</v>
      </c>
      <c r="W9" s="14">
        <f t="shared" ref="W9:W41" si="34">+W8</f>
        <v>8</v>
      </c>
      <c r="X9" s="7">
        <f t="shared" si="12"/>
        <v>141.58181240124324</v>
      </c>
      <c r="Y9" s="22">
        <f t="shared" si="13"/>
        <v>1132.6544992099459</v>
      </c>
      <c r="AA9" s="7">
        <f t="shared" si="14"/>
        <v>70.413172390415298</v>
      </c>
      <c r="AB9" s="7">
        <f t="shared" si="2"/>
        <v>1061.601160306994</v>
      </c>
      <c r="AD9" s="7">
        <f t="shared" ref="AD9:AD41" si="35">+AD8</f>
        <v>15.4</v>
      </c>
      <c r="AE9" s="7">
        <f t="shared" si="15"/>
        <v>301.77073881606555</v>
      </c>
      <c r="AF9" s="22">
        <f t="shared" si="16"/>
        <v>4647.2693777674094</v>
      </c>
      <c r="AG9" s="7">
        <f t="shared" ref="AG9:AG41" si="36">+AG8</f>
        <v>32</v>
      </c>
      <c r="AH9" s="7">
        <f t="shared" si="17"/>
        <v>75.442684704016386</v>
      </c>
      <c r="AI9" s="22">
        <f t="shared" si="18"/>
        <v>2414.1659105285244</v>
      </c>
      <c r="AJ9" s="22">
        <f t="shared" si="3"/>
        <v>7061.4352882959338</v>
      </c>
      <c r="AL9" s="15">
        <f t="shared" ref="AL9:AL41" si="37">+AL8</f>
        <v>0.5</v>
      </c>
      <c r="AM9" s="7">
        <f t="shared" si="19"/>
        <v>103.96542056074766</v>
      </c>
      <c r="AN9" s="7">
        <f t="shared" si="20"/>
        <v>51.98271028037383</v>
      </c>
      <c r="AP9" s="7">
        <f t="shared" ref="AP9:AP41" si="38">+AP8</f>
        <v>36</v>
      </c>
      <c r="AQ9" s="7">
        <f t="shared" si="21"/>
        <v>23.963039999999996</v>
      </c>
      <c r="AR9" s="22">
        <f t="shared" si="22"/>
        <v>862.6694399999999</v>
      </c>
      <c r="AS9" s="7">
        <f t="shared" ref="AS9:AS41" si="39">+AS8</f>
        <v>60</v>
      </c>
      <c r="AT9" s="7">
        <f t="shared" si="23"/>
        <v>23.963039999999996</v>
      </c>
      <c r="AU9" s="22">
        <f t="shared" si="24"/>
        <v>1437.7823999999998</v>
      </c>
      <c r="AV9" s="22">
        <f t="shared" si="25"/>
        <v>2300.4518399999997</v>
      </c>
      <c r="AX9" s="7">
        <f t="shared" ref="AX9:AX41" si="40">+AX8</f>
        <v>231</v>
      </c>
      <c r="AY9" s="7">
        <f t="shared" si="26"/>
        <v>23.963039999999996</v>
      </c>
      <c r="AZ9" s="22">
        <f t="shared" ref="AZ9:AZ41" si="41">+AX9*AY9</f>
        <v>5535.4622399999989</v>
      </c>
      <c r="BB9" s="7">
        <f t="shared" ref="BB9:BB41" si="42">10*F9</f>
        <v>150.76740960069284</v>
      </c>
      <c r="BD9" s="22">
        <f t="shared" si="27"/>
        <v>17989.04990720937</v>
      </c>
      <c r="BF9" s="22">
        <f t="shared" si="4"/>
        <v>29509.729323064978</v>
      </c>
      <c r="BH9" s="15">
        <f t="shared" si="28"/>
        <v>5.4664012741167598</v>
      </c>
      <c r="BJ9" s="7">
        <f>+'Almonds Margin - Alter.Ex.Rate'!BN9</f>
        <v>134.84</v>
      </c>
      <c r="BK9" s="7">
        <f>+'Almonds Margin - Alter.Ex.Rate'!BO9</f>
        <v>151.0204032</v>
      </c>
      <c r="BL9" s="7">
        <f>+'Almonds Margin - Alter.Ex.Rate'!BP9</f>
        <v>72.926858361808939</v>
      </c>
      <c r="BM9" s="7">
        <f>+'Almonds Margin - Alter.Ex.Rate'!BQ9</f>
        <v>94.09708074315202</v>
      </c>
    </row>
    <row r="10" spans="1:65" x14ac:dyDescent="0.2">
      <c r="A10" s="8">
        <f t="shared" si="5"/>
        <v>2024</v>
      </c>
      <c r="B10" s="22">
        <f>+'Grapes Margin - Baseline'!B10</f>
        <v>3565.8752698717967</v>
      </c>
      <c r="C10" s="22">
        <f t="shared" si="29"/>
        <v>3229.2056074766356</v>
      </c>
      <c r="E10" s="15">
        <f t="shared" si="30"/>
        <v>14.43332519664682</v>
      </c>
      <c r="F10" s="15">
        <f t="shared" si="30"/>
        <v>14.917664968346378</v>
      </c>
      <c r="H10" s="22">
        <f t="shared" si="0"/>
        <v>51467.437380740383</v>
      </c>
      <c r="I10" s="22">
        <f t="shared" si="1"/>
        <v>48172.207366241892</v>
      </c>
      <c r="K10" s="54">
        <f t="shared" si="31"/>
        <v>176</v>
      </c>
      <c r="L10" s="14">
        <f t="shared" si="6"/>
        <v>2.2656194227526187</v>
      </c>
      <c r="M10" s="7">
        <f t="shared" si="7"/>
        <v>398.74901840446091</v>
      </c>
      <c r="O10" s="15">
        <f t="shared" si="32"/>
        <v>4</v>
      </c>
      <c r="P10" s="7">
        <f t="shared" si="8"/>
        <v>45.72809844087854</v>
      </c>
      <c r="Q10" s="7">
        <f t="shared" si="9"/>
        <v>182.91239376351416</v>
      </c>
      <c r="S10" s="15">
        <f t="shared" si="33"/>
        <v>2</v>
      </c>
      <c r="T10" s="7">
        <f t="shared" si="10"/>
        <v>45.72809844087854</v>
      </c>
      <c r="U10" s="7">
        <f t="shared" si="11"/>
        <v>91.45619688175708</v>
      </c>
      <c r="W10" s="14">
        <f t="shared" si="34"/>
        <v>8</v>
      </c>
      <c r="X10" s="7">
        <f t="shared" si="12"/>
        <v>137.18429532263565</v>
      </c>
      <c r="Y10" s="22">
        <f t="shared" si="13"/>
        <v>1097.4743625810852</v>
      </c>
      <c r="AA10" s="7">
        <f t="shared" si="14"/>
        <v>70.670325140297564</v>
      </c>
      <c r="AB10" s="7">
        <f t="shared" si="2"/>
        <v>1054.2362336470653</v>
      </c>
      <c r="AD10" s="7">
        <f t="shared" si="35"/>
        <v>15.4</v>
      </c>
      <c r="AE10" s="7">
        <f t="shared" si="15"/>
        <v>302.8728220298467</v>
      </c>
      <c r="AF10" s="22">
        <f t="shared" si="16"/>
        <v>4664.2414592596397</v>
      </c>
      <c r="AG10" s="7">
        <f t="shared" si="36"/>
        <v>32</v>
      </c>
      <c r="AH10" s="7">
        <f t="shared" si="17"/>
        <v>75.718205507461676</v>
      </c>
      <c r="AI10" s="22">
        <f t="shared" si="18"/>
        <v>2422.9825762387736</v>
      </c>
      <c r="AJ10" s="22">
        <f t="shared" si="3"/>
        <v>7087.2240354984133</v>
      </c>
      <c r="AL10" s="15">
        <f t="shared" si="37"/>
        <v>0.5</v>
      </c>
      <c r="AM10" s="7">
        <f t="shared" si="19"/>
        <v>106.56378504672897</v>
      </c>
      <c r="AN10" s="7">
        <f t="shared" si="20"/>
        <v>53.281892523364483</v>
      </c>
      <c r="AP10" s="7">
        <f t="shared" si="38"/>
        <v>36</v>
      </c>
      <c r="AQ10" s="7">
        <f t="shared" si="21"/>
        <v>24.729857279999997</v>
      </c>
      <c r="AR10" s="22">
        <f t="shared" si="22"/>
        <v>890.27486207999993</v>
      </c>
      <c r="AS10" s="7">
        <f t="shared" si="39"/>
        <v>60</v>
      </c>
      <c r="AT10" s="7">
        <f t="shared" si="23"/>
        <v>24.729857279999997</v>
      </c>
      <c r="AU10" s="22">
        <f t="shared" si="24"/>
        <v>1483.7914367999999</v>
      </c>
      <c r="AV10" s="22">
        <f t="shared" si="25"/>
        <v>2374.06629888</v>
      </c>
      <c r="AX10" s="7">
        <f t="shared" si="40"/>
        <v>231</v>
      </c>
      <c r="AY10" s="7">
        <f t="shared" si="26"/>
        <v>24.729857279999997</v>
      </c>
      <c r="AZ10" s="22">
        <f t="shared" si="41"/>
        <v>5712.5970316799994</v>
      </c>
      <c r="BB10" s="7">
        <f t="shared" si="42"/>
        <v>149.17664968346378</v>
      </c>
      <c r="BD10" s="22">
        <f t="shared" si="27"/>
        <v>18201.174113543126</v>
      </c>
      <c r="BF10" s="22">
        <f t="shared" si="4"/>
        <v>29971.033252698766</v>
      </c>
      <c r="BH10" s="15">
        <f t="shared" si="28"/>
        <v>5.4003401727066809</v>
      </c>
      <c r="BJ10" s="7">
        <f>+'Almonds Margin - Alter.Ex.Rate'!BN10</f>
        <v>138.21</v>
      </c>
      <c r="BK10" s="7">
        <f>+'Almonds Margin - Alter.Ex.Rate'!BO10</f>
        <v>155.85305610240002</v>
      </c>
      <c r="BL10" s="7">
        <f>+'Almonds Margin - Alter.Ex.Rate'!BP10</f>
        <v>71.125864630807527</v>
      </c>
      <c r="BM10" s="7">
        <f>+'Almonds Margin - Alter.Ex.Rate'!BQ10</f>
        <v>91.174434729535264</v>
      </c>
    </row>
    <row r="11" spans="1:65" x14ac:dyDescent="0.2">
      <c r="A11" s="8">
        <f t="shared" si="5"/>
        <v>2025</v>
      </c>
      <c r="B11" s="22">
        <f>+'Grapes Margin - Baseline'!B11</f>
        <v>3530.2165171730785</v>
      </c>
      <c r="C11" s="22">
        <f t="shared" si="29"/>
        <v>3332.5401869158877</v>
      </c>
      <c r="E11" s="15">
        <f t="shared" si="30"/>
        <v>14.281037940031034</v>
      </c>
      <c r="F11" s="15">
        <f t="shared" si="30"/>
        <v>14.760267401105901</v>
      </c>
      <c r="H11" s="22">
        <f t="shared" si="0"/>
        <v>50415.156018272952</v>
      </c>
      <c r="I11" s="22">
        <f t="shared" si="1"/>
        <v>49189.184283809947</v>
      </c>
      <c r="K11" s="54">
        <f t="shared" si="31"/>
        <v>176</v>
      </c>
      <c r="L11" s="14">
        <f t="shared" si="6"/>
        <v>2.2307288192038999</v>
      </c>
      <c r="M11" s="7">
        <f t="shared" si="7"/>
        <v>392.6082721798864</v>
      </c>
      <c r="O11" s="15">
        <f t="shared" si="32"/>
        <v>4</v>
      </c>
      <c r="P11" s="7">
        <f t="shared" si="8"/>
        <v>45.023884424298899</v>
      </c>
      <c r="Q11" s="7">
        <f t="shared" si="9"/>
        <v>180.0955376971956</v>
      </c>
      <c r="S11" s="15">
        <f t="shared" si="33"/>
        <v>2</v>
      </c>
      <c r="T11" s="7">
        <f t="shared" si="10"/>
        <v>45.023884424298899</v>
      </c>
      <c r="U11" s="7">
        <f t="shared" si="11"/>
        <v>90.047768848597798</v>
      </c>
      <c r="W11" s="14">
        <f t="shared" si="34"/>
        <v>8</v>
      </c>
      <c r="X11" s="7">
        <f t="shared" si="12"/>
        <v>135.0716532728967</v>
      </c>
      <c r="Y11" s="22">
        <f t="shared" si="13"/>
        <v>1080.5732261831736</v>
      </c>
      <c r="AA11" s="7">
        <f t="shared" si="14"/>
        <v>71.553792961147877</v>
      </c>
      <c r="AB11" s="7">
        <f t="shared" si="2"/>
        <v>1056.1531176699118</v>
      </c>
      <c r="AD11" s="7">
        <f t="shared" si="35"/>
        <v>15.4</v>
      </c>
      <c r="AE11" s="7">
        <f t="shared" si="15"/>
        <v>306.65911269063372</v>
      </c>
      <c r="AF11" s="22">
        <f t="shared" si="16"/>
        <v>4722.5503354357597</v>
      </c>
      <c r="AG11" s="7">
        <f t="shared" si="36"/>
        <v>32</v>
      </c>
      <c r="AH11" s="7">
        <f t="shared" si="17"/>
        <v>76.66477817265843</v>
      </c>
      <c r="AI11" s="22">
        <f t="shared" si="18"/>
        <v>2453.2729015250698</v>
      </c>
      <c r="AJ11" s="22">
        <f t="shared" si="3"/>
        <v>7175.8232369608295</v>
      </c>
      <c r="AL11" s="15">
        <f t="shared" si="37"/>
        <v>0.5</v>
      </c>
      <c r="AM11" s="7">
        <f t="shared" si="19"/>
        <v>109.97382616822429</v>
      </c>
      <c r="AN11" s="7">
        <f t="shared" si="20"/>
        <v>54.986913084112146</v>
      </c>
      <c r="AP11" s="7">
        <f t="shared" si="38"/>
        <v>36</v>
      </c>
      <c r="AQ11" s="7">
        <f t="shared" si="21"/>
        <v>25.521212712959993</v>
      </c>
      <c r="AR11" s="22">
        <f t="shared" si="22"/>
        <v>918.76365766655977</v>
      </c>
      <c r="AS11" s="7">
        <f t="shared" si="39"/>
        <v>60</v>
      </c>
      <c r="AT11" s="7">
        <f t="shared" si="23"/>
        <v>25.521212712959993</v>
      </c>
      <c r="AU11" s="22">
        <f t="shared" si="24"/>
        <v>1531.2727627775996</v>
      </c>
      <c r="AV11" s="22">
        <f t="shared" si="25"/>
        <v>2450.0364204441594</v>
      </c>
      <c r="AX11" s="7">
        <f t="shared" si="40"/>
        <v>231</v>
      </c>
      <c r="AY11" s="7">
        <f t="shared" si="26"/>
        <v>25.521212712959993</v>
      </c>
      <c r="AZ11" s="22">
        <f t="shared" si="41"/>
        <v>5895.4001366937582</v>
      </c>
      <c r="BB11" s="7">
        <f t="shared" si="42"/>
        <v>147.60267401105901</v>
      </c>
      <c r="BD11" s="22">
        <f t="shared" si="27"/>
        <v>18523.327303772683</v>
      </c>
      <c r="BF11" s="22">
        <f t="shared" si="4"/>
        <v>30665.856980037264</v>
      </c>
      <c r="BH11" s="15">
        <f t="shared" si="28"/>
        <v>5.3291212370327568</v>
      </c>
      <c r="BJ11" s="7">
        <f>+'Almonds Margin - Alter.Ex.Rate'!BN11</f>
        <v>142.63272000000001</v>
      </c>
      <c r="BK11" s="7">
        <f>+'Almonds Margin - Alter.Ex.Rate'!BO11</f>
        <v>160.84035389767681</v>
      </c>
      <c r="BL11" s="7">
        <f>+'Almonds Margin - Alter.Ex.Rate'!BP11</f>
        <v>70.628162235831525</v>
      </c>
      <c r="BM11" s="7">
        <f>+'Almonds Margin - Alter.Ex.Rate'!BQ11</f>
        <v>89.770345841534009</v>
      </c>
    </row>
    <row r="12" spans="1:65" x14ac:dyDescent="0.2">
      <c r="A12" s="8">
        <f t="shared" si="5"/>
        <v>2026</v>
      </c>
      <c r="B12" s="22">
        <f>+'Grapes Margin - Baseline'!B12</f>
        <v>3494.9143520013477</v>
      </c>
      <c r="C12" s="22">
        <f t="shared" si="29"/>
        <v>3439.1814728971958</v>
      </c>
      <c r="E12" s="15">
        <f t="shared" si="30"/>
        <v>14.130357479369167</v>
      </c>
      <c r="F12" s="15">
        <f t="shared" si="30"/>
        <v>14.604530549146656</v>
      </c>
      <c r="H12" s="22">
        <f t="shared" si="0"/>
        <v>49384.389153556884</v>
      </c>
      <c r="I12" s="22">
        <f t="shared" si="1"/>
        <v>50227.630884986291</v>
      </c>
      <c r="K12" s="54">
        <f t="shared" si="31"/>
        <v>176</v>
      </c>
      <c r="L12" s="14">
        <f t="shared" si="6"/>
        <v>2.2278445886769047</v>
      </c>
      <c r="M12" s="7">
        <f t="shared" si="7"/>
        <v>392.10064760713522</v>
      </c>
      <c r="O12" s="15">
        <f t="shared" si="32"/>
        <v>4</v>
      </c>
      <c r="P12" s="7">
        <f t="shared" si="8"/>
        <v>44.965670597148538</v>
      </c>
      <c r="Q12" s="7">
        <f t="shared" si="9"/>
        <v>179.86268238859415</v>
      </c>
      <c r="S12" s="15">
        <f t="shared" si="33"/>
        <v>2</v>
      </c>
      <c r="T12" s="7">
        <f t="shared" si="10"/>
        <v>44.965670597148538</v>
      </c>
      <c r="U12" s="7">
        <f t="shared" si="11"/>
        <v>89.931341194297076</v>
      </c>
      <c r="W12" s="14">
        <f t="shared" si="34"/>
        <v>8</v>
      </c>
      <c r="X12" s="7">
        <f t="shared" si="12"/>
        <v>134.89701179144561</v>
      </c>
      <c r="Y12" s="22">
        <f t="shared" si="13"/>
        <v>1079.1760943315649</v>
      </c>
      <c r="AA12" s="7">
        <f t="shared" si="14"/>
        <v>73.732355440882401</v>
      </c>
      <c r="AB12" s="7">
        <f t="shared" si="2"/>
        <v>1076.8264374969067</v>
      </c>
      <c r="AD12" s="7">
        <f t="shared" si="35"/>
        <v>15.4</v>
      </c>
      <c r="AE12" s="7">
        <f t="shared" si="15"/>
        <v>315.99580903235312</v>
      </c>
      <c r="AF12" s="22">
        <f t="shared" si="16"/>
        <v>4866.3354590982381</v>
      </c>
      <c r="AG12" s="7">
        <f t="shared" si="36"/>
        <v>32</v>
      </c>
      <c r="AH12" s="7">
        <f t="shared" si="17"/>
        <v>78.998952258088281</v>
      </c>
      <c r="AI12" s="22">
        <f t="shared" si="18"/>
        <v>2527.966472258825</v>
      </c>
      <c r="AJ12" s="22">
        <f t="shared" si="3"/>
        <v>7394.301931357063</v>
      </c>
      <c r="AL12" s="15">
        <f t="shared" si="37"/>
        <v>0.5</v>
      </c>
      <c r="AM12" s="7">
        <f t="shared" si="19"/>
        <v>113.49298860560747</v>
      </c>
      <c r="AN12" s="7">
        <f t="shared" si="20"/>
        <v>56.746494302803733</v>
      </c>
      <c r="AP12" s="7">
        <f t="shared" si="38"/>
        <v>36</v>
      </c>
      <c r="AQ12" s="7">
        <f t="shared" si="21"/>
        <v>26.337891519774711</v>
      </c>
      <c r="AR12" s="22">
        <f t="shared" si="22"/>
        <v>948.16409471188956</v>
      </c>
      <c r="AS12" s="7">
        <f t="shared" si="39"/>
        <v>60</v>
      </c>
      <c r="AT12" s="7">
        <f t="shared" si="23"/>
        <v>26.337891519774711</v>
      </c>
      <c r="AU12" s="22">
        <f t="shared" si="24"/>
        <v>1580.2734911864827</v>
      </c>
      <c r="AV12" s="22">
        <f t="shared" si="25"/>
        <v>2528.4375858983722</v>
      </c>
      <c r="AX12" s="7">
        <f t="shared" si="40"/>
        <v>231</v>
      </c>
      <c r="AY12" s="7">
        <f t="shared" si="26"/>
        <v>26.337891519774711</v>
      </c>
      <c r="AZ12" s="22">
        <f t="shared" si="41"/>
        <v>6084.0529410679583</v>
      </c>
      <c r="BB12" s="7">
        <f t="shared" si="42"/>
        <v>146.04530549146656</v>
      </c>
      <c r="BD12" s="22">
        <f t="shared" si="27"/>
        <v>19027.481461136162</v>
      </c>
      <c r="BF12" s="22">
        <f t="shared" si="4"/>
        <v>31200.149423850129</v>
      </c>
      <c r="BH12" s="15">
        <f t="shared" si="28"/>
        <v>5.3077596632764141</v>
      </c>
      <c r="BJ12" s="7">
        <f>+'Almonds Margin - Alter.Ex.Rate'!BN12</f>
        <v>147.19696704</v>
      </c>
      <c r="BK12" s="7">
        <f>+'Almonds Margin - Alter.Ex.Rate'!BO12</f>
        <v>165.98724522240246</v>
      </c>
      <c r="BL12" s="7">
        <f>+'Almonds Margin - Alter.Ex.Rate'!BP12</f>
        <v>72.668821574006429</v>
      </c>
      <c r="BM12" s="7">
        <f>+'Almonds Margin - Alter.Ex.Rate'!BQ12</f>
        <v>89.654276882516626</v>
      </c>
    </row>
    <row r="13" spans="1:65" x14ac:dyDescent="0.2">
      <c r="A13" s="8">
        <f t="shared" si="5"/>
        <v>2027</v>
      </c>
      <c r="B13" s="22">
        <f>+'Grapes Margin - Baseline'!B13</f>
        <v>3494.9143520013477</v>
      </c>
      <c r="C13" s="22">
        <f t="shared" si="29"/>
        <v>3549.2352800299059</v>
      </c>
      <c r="E13" s="15">
        <f t="shared" si="30"/>
        <v>13.98126686121879</v>
      </c>
      <c r="F13" s="15">
        <f t="shared" si="30"/>
        <v>14.45043689011875</v>
      </c>
      <c r="H13" s="22">
        <f t="shared" si="0"/>
        <v>48863.330212434383</v>
      </c>
      <c r="I13" s="22">
        <f t="shared" si="1"/>
        <v>51288.000422255107</v>
      </c>
      <c r="K13" s="54">
        <f t="shared" si="31"/>
        <v>176</v>
      </c>
      <c r="L13" s="14">
        <f t="shared" si="6"/>
        <v>2.2724014804504429</v>
      </c>
      <c r="M13" s="7">
        <f t="shared" si="7"/>
        <v>399.94266055927795</v>
      </c>
      <c r="O13" s="15">
        <f t="shared" si="32"/>
        <v>4</v>
      </c>
      <c r="P13" s="7">
        <f t="shared" si="8"/>
        <v>45.864984009091508</v>
      </c>
      <c r="Q13" s="7">
        <f t="shared" si="9"/>
        <v>183.45993603636603</v>
      </c>
      <c r="S13" s="15">
        <f t="shared" si="33"/>
        <v>2</v>
      </c>
      <c r="T13" s="7">
        <f t="shared" si="10"/>
        <v>45.864984009091508</v>
      </c>
      <c r="U13" s="7">
        <f t="shared" si="11"/>
        <v>91.729968018183015</v>
      </c>
      <c r="W13" s="14">
        <f t="shared" si="34"/>
        <v>8</v>
      </c>
      <c r="X13" s="7">
        <f t="shared" si="12"/>
        <v>137.5949520272745</v>
      </c>
      <c r="Y13" s="22">
        <f t="shared" si="13"/>
        <v>1100.759616218196</v>
      </c>
      <c r="AA13" s="7">
        <f t="shared" si="14"/>
        <v>75.90470383509242</v>
      </c>
      <c r="AB13" s="7">
        <f t="shared" si="2"/>
        <v>1096.8561324321577</v>
      </c>
      <c r="AD13" s="7">
        <f t="shared" si="35"/>
        <v>15.4</v>
      </c>
      <c r="AE13" s="7">
        <f t="shared" si="15"/>
        <v>325.30587357896746</v>
      </c>
      <c r="AF13" s="22">
        <f t="shared" si="16"/>
        <v>5009.7104531160994</v>
      </c>
      <c r="AG13" s="7">
        <f t="shared" si="36"/>
        <v>32</v>
      </c>
      <c r="AH13" s="7">
        <f t="shared" si="17"/>
        <v>81.326468394741866</v>
      </c>
      <c r="AI13" s="22">
        <f t="shared" si="18"/>
        <v>2602.4469886317397</v>
      </c>
      <c r="AJ13" s="22">
        <f t="shared" si="3"/>
        <v>7612.1574417478387</v>
      </c>
      <c r="AL13" s="15">
        <f t="shared" si="37"/>
        <v>0.5</v>
      </c>
      <c r="AM13" s="7">
        <f t="shared" si="19"/>
        <v>117.12476424098692</v>
      </c>
      <c r="AN13" s="7">
        <f t="shared" si="20"/>
        <v>58.56238212049346</v>
      </c>
      <c r="AP13" s="7">
        <f t="shared" si="38"/>
        <v>36</v>
      </c>
      <c r="AQ13" s="7">
        <f t="shared" si="21"/>
        <v>27.180704048407499</v>
      </c>
      <c r="AR13" s="22">
        <f t="shared" si="22"/>
        <v>978.50534574266999</v>
      </c>
      <c r="AS13" s="7">
        <f t="shared" si="39"/>
        <v>60</v>
      </c>
      <c r="AT13" s="7">
        <f t="shared" si="23"/>
        <v>27.180704048407499</v>
      </c>
      <c r="AU13" s="22">
        <f t="shared" si="24"/>
        <v>1630.8422429044499</v>
      </c>
      <c r="AV13" s="22">
        <f t="shared" si="25"/>
        <v>2609.3475886471197</v>
      </c>
      <c r="AX13" s="7">
        <f t="shared" si="40"/>
        <v>231</v>
      </c>
      <c r="AY13" s="7">
        <f t="shared" si="26"/>
        <v>27.180704048407499</v>
      </c>
      <c r="AZ13" s="22">
        <f t="shared" si="41"/>
        <v>6278.7426351821323</v>
      </c>
      <c r="BB13" s="7">
        <f t="shared" si="42"/>
        <v>144.50436890118749</v>
      </c>
      <c r="BD13" s="22">
        <f t="shared" si="27"/>
        <v>19576.062729862955</v>
      </c>
      <c r="BF13" s="22">
        <f t="shared" si="4"/>
        <v>31711.937692392152</v>
      </c>
      <c r="BH13" s="15">
        <f t="shared" si="28"/>
        <v>5.295479973688674</v>
      </c>
      <c r="BJ13" s="7">
        <f>+'Almonds Margin - Alter.Ex.Rate'!BN13</f>
        <v>151.90726998528001</v>
      </c>
      <c r="BK13" s="7">
        <f>+'Almonds Margin - Alter.Ex.Rate'!BO13</f>
        <v>171.29883706951935</v>
      </c>
      <c r="BL13" s="7">
        <f>+'Almonds Margin - Alter.Ex.Rate'!BP13</f>
        <v>74.625447083007742</v>
      </c>
      <c r="BM13" s="7">
        <f>+'Almonds Margin - Alter.Ex.Rate'!BQ13</f>
        <v>91.447362420166954</v>
      </c>
    </row>
    <row r="14" spans="1:65" x14ac:dyDescent="0.2">
      <c r="A14" s="8">
        <f t="shared" si="5"/>
        <v>2028</v>
      </c>
      <c r="B14" s="22">
        <f>+'Grapes Margin - Baseline'!B14</f>
        <v>3494.9143520013477</v>
      </c>
      <c r="C14" s="22">
        <f t="shared" si="29"/>
        <v>3662.8108089908628</v>
      </c>
      <c r="E14" s="15">
        <f t="shared" si="30"/>
        <v>13.833749311014707</v>
      </c>
      <c r="F14" s="15">
        <f t="shared" si="30"/>
        <v>14.297969086552113</v>
      </c>
      <c r="H14" s="22">
        <f t="shared" si="0"/>
        <v>48347.769009054049</v>
      </c>
      <c r="I14" s="22">
        <f t="shared" si="1"/>
        <v>52370.755716840293</v>
      </c>
      <c r="K14" s="54">
        <f t="shared" si="31"/>
        <v>176</v>
      </c>
      <c r="L14" s="14">
        <f t="shared" si="6"/>
        <v>2.3169583722239806</v>
      </c>
      <c r="M14" s="7">
        <f t="shared" si="7"/>
        <v>407.78467351142058</v>
      </c>
      <c r="O14" s="15">
        <f t="shared" si="32"/>
        <v>4</v>
      </c>
      <c r="P14" s="7">
        <f t="shared" si="8"/>
        <v>46.76429742103447</v>
      </c>
      <c r="Q14" s="7">
        <f t="shared" si="9"/>
        <v>187.05718968413788</v>
      </c>
      <c r="S14" s="15">
        <f t="shared" si="33"/>
        <v>2</v>
      </c>
      <c r="T14" s="7">
        <f t="shared" si="10"/>
        <v>46.76429742103447</v>
      </c>
      <c r="U14" s="7">
        <f t="shared" si="11"/>
        <v>93.528594842068941</v>
      </c>
      <c r="W14" s="14">
        <f t="shared" si="34"/>
        <v>8</v>
      </c>
      <c r="X14" s="7">
        <f t="shared" si="12"/>
        <v>140.2928922631034</v>
      </c>
      <c r="Y14" s="22">
        <f t="shared" si="13"/>
        <v>1122.3431381048272</v>
      </c>
      <c r="AA14" s="7">
        <f t="shared" si="14"/>
        <v>77.119179096453905</v>
      </c>
      <c r="AB14" s="7">
        <f t="shared" si="2"/>
        <v>1102.6476387013738</v>
      </c>
      <c r="AD14" s="7">
        <f t="shared" si="35"/>
        <v>15.4</v>
      </c>
      <c r="AE14" s="7">
        <f t="shared" si="15"/>
        <v>330.51076755623097</v>
      </c>
      <c r="AF14" s="22">
        <f t="shared" si="16"/>
        <v>5089.865820365957</v>
      </c>
      <c r="AG14" s="7">
        <f t="shared" si="36"/>
        <v>32</v>
      </c>
      <c r="AH14" s="7">
        <f t="shared" si="17"/>
        <v>82.627691889057743</v>
      </c>
      <c r="AI14" s="22">
        <f t="shared" si="18"/>
        <v>2644.0861404498478</v>
      </c>
      <c r="AJ14" s="22">
        <f t="shared" si="3"/>
        <v>7733.9519608158043</v>
      </c>
      <c r="AL14" s="15">
        <f t="shared" si="37"/>
        <v>0.5</v>
      </c>
      <c r="AM14" s="7">
        <f t="shared" si="19"/>
        <v>120.87275669669849</v>
      </c>
      <c r="AN14" s="7">
        <f t="shared" si="20"/>
        <v>60.436378348349244</v>
      </c>
      <c r="AP14" s="7">
        <f t="shared" si="38"/>
        <v>36</v>
      </c>
      <c r="AQ14" s="7">
        <f t="shared" si="21"/>
        <v>28.050486577956541</v>
      </c>
      <c r="AR14" s="22">
        <f t="shared" si="22"/>
        <v>1009.8175168064355</v>
      </c>
      <c r="AS14" s="7">
        <f t="shared" si="39"/>
        <v>60</v>
      </c>
      <c r="AT14" s="7">
        <f t="shared" si="23"/>
        <v>28.050486577956541</v>
      </c>
      <c r="AU14" s="22">
        <f t="shared" si="24"/>
        <v>1683.0291946773925</v>
      </c>
      <c r="AV14" s="22">
        <f t="shared" si="25"/>
        <v>2692.8467114838281</v>
      </c>
      <c r="AX14" s="7">
        <f t="shared" si="40"/>
        <v>231</v>
      </c>
      <c r="AY14" s="7">
        <f t="shared" si="26"/>
        <v>28.050486577956541</v>
      </c>
      <c r="AZ14" s="22">
        <f t="shared" si="41"/>
        <v>6479.6623995079608</v>
      </c>
      <c r="BB14" s="7">
        <f t="shared" si="42"/>
        <v>142.97969086552112</v>
      </c>
      <c r="BD14" s="22">
        <f t="shared" si="27"/>
        <v>20023.238375865294</v>
      </c>
      <c r="BF14" s="22">
        <f t="shared" si="4"/>
        <v>32347.517340974999</v>
      </c>
      <c r="BH14" s="15">
        <f t="shared" si="28"/>
        <v>5.252931718435546</v>
      </c>
      <c r="BJ14" s="7">
        <f>+'Almonds Margin - Alter.Ex.Rate'!BN14</f>
        <v>156.76830262480897</v>
      </c>
      <c r="BK14" s="7">
        <f>+'Almonds Margin - Alter.Ex.Rate'!BO14</f>
        <v>176.78039985574398</v>
      </c>
      <c r="BL14" s="7">
        <f>+'Almonds Margin - Alter.Ex.Rate'!BP14</f>
        <v>74.625447083007742</v>
      </c>
      <c r="BM14" s="7">
        <f>+'Almonds Margin - Alter.Ex.Rate'!BQ14</f>
        <v>93.240447957817267</v>
      </c>
    </row>
    <row r="15" spans="1:65" x14ac:dyDescent="0.2">
      <c r="A15" s="8">
        <f t="shared" si="5"/>
        <v>2029</v>
      </c>
      <c r="B15" s="22">
        <f>+'Grapes Margin - Baseline'!B15</f>
        <v>3494.9143520013477</v>
      </c>
      <c r="C15" s="22">
        <f t="shared" si="29"/>
        <v>3780.0207548785702</v>
      </c>
      <c r="E15" s="15">
        <f t="shared" si="30"/>
        <v>13.687788231181601</v>
      </c>
      <c r="F15" s="15">
        <f t="shared" si="30"/>
        <v>14.147109983905816</v>
      </c>
      <c r="H15" s="22">
        <f t="shared" si="0"/>
        <v>47837.647536311721</v>
      </c>
      <c r="I15" s="22">
        <f t="shared" si="1"/>
        <v>53476.369360713819</v>
      </c>
      <c r="K15" s="54">
        <f t="shared" si="31"/>
        <v>176</v>
      </c>
      <c r="L15" s="14">
        <f t="shared" si="6"/>
        <v>2.3615152639975183</v>
      </c>
      <c r="M15" s="7">
        <f t="shared" si="7"/>
        <v>415.6266864635632</v>
      </c>
      <c r="O15" s="15">
        <f t="shared" si="32"/>
        <v>4</v>
      </c>
      <c r="P15" s="7">
        <f t="shared" si="8"/>
        <v>47.663610832977433</v>
      </c>
      <c r="Q15" s="7">
        <f t="shared" si="9"/>
        <v>190.65444333190973</v>
      </c>
      <c r="S15" s="15">
        <f t="shared" si="33"/>
        <v>2</v>
      </c>
      <c r="T15" s="7">
        <f t="shared" si="10"/>
        <v>47.663610832977433</v>
      </c>
      <c r="U15" s="7">
        <f t="shared" si="11"/>
        <v>95.327221665954866</v>
      </c>
      <c r="W15" s="14">
        <f t="shared" si="34"/>
        <v>8</v>
      </c>
      <c r="X15" s="7">
        <f t="shared" si="12"/>
        <v>142.99083249893229</v>
      </c>
      <c r="Y15" s="22">
        <f t="shared" si="13"/>
        <v>1143.9266599914583</v>
      </c>
      <c r="AA15" s="7">
        <f t="shared" si="14"/>
        <v>78.353085961997166</v>
      </c>
      <c r="AB15" s="7">
        <f t="shared" si="2"/>
        <v>1108.4697246828007</v>
      </c>
      <c r="AD15" s="7">
        <f t="shared" si="35"/>
        <v>15.4</v>
      </c>
      <c r="AE15" s="7">
        <f t="shared" si="15"/>
        <v>335.79893983713066</v>
      </c>
      <c r="AF15" s="22">
        <f t="shared" si="16"/>
        <v>5171.3036734918123</v>
      </c>
      <c r="AG15" s="7">
        <f t="shared" si="36"/>
        <v>32</v>
      </c>
      <c r="AH15" s="7">
        <f t="shared" si="17"/>
        <v>83.949734959282665</v>
      </c>
      <c r="AI15" s="22">
        <f t="shared" si="18"/>
        <v>2686.3915186970453</v>
      </c>
      <c r="AJ15" s="22">
        <f t="shared" si="3"/>
        <v>7857.6951921888576</v>
      </c>
      <c r="AL15" s="15">
        <f t="shared" si="37"/>
        <v>0.5</v>
      </c>
      <c r="AM15" s="7">
        <f t="shared" si="19"/>
        <v>124.74068491099284</v>
      </c>
      <c r="AN15" s="7">
        <f t="shared" si="20"/>
        <v>62.37034245549642</v>
      </c>
      <c r="AP15" s="7">
        <f t="shared" si="38"/>
        <v>36</v>
      </c>
      <c r="AQ15" s="7">
        <f t="shared" si="21"/>
        <v>28.948102148451149</v>
      </c>
      <c r="AR15" s="22">
        <f t="shared" si="22"/>
        <v>1042.1316773442413</v>
      </c>
      <c r="AS15" s="7">
        <f t="shared" si="39"/>
        <v>60</v>
      </c>
      <c r="AT15" s="7">
        <f t="shared" si="23"/>
        <v>28.948102148451149</v>
      </c>
      <c r="AU15" s="22">
        <f t="shared" si="24"/>
        <v>1736.886128907069</v>
      </c>
      <c r="AV15" s="22">
        <f t="shared" si="25"/>
        <v>2779.0178062513105</v>
      </c>
      <c r="AX15" s="7">
        <f t="shared" si="40"/>
        <v>231</v>
      </c>
      <c r="AY15" s="7">
        <f t="shared" si="26"/>
        <v>28.948102148451149</v>
      </c>
      <c r="AZ15" s="22">
        <f t="shared" si="41"/>
        <v>6687.0115962922155</v>
      </c>
      <c r="BB15" s="7">
        <f t="shared" si="42"/>
        <v>141.47109983905816</v>
      </c>
      <c r="BD15" s="22">
        <f t="shared" si="27"/>
        <v>20481.570773162624</v>
      </c>
      <c r="BF15" s="22">
        <f t="shared" si="4"/>
        <v>32994.798587551195</v>
      </c>
      <c r="BH15" s="15">
        <f t="shared" si="28"/>
        <v>5.210880977068947</v>
      </c>
      <c r="BJ15" s="7">
        <f>+'Almonds Margin - Alter.Ex.Rate'!BN15</f>
        <v>161.78488830880286</v>
      </c>
      <c r="BK15" s="7">
        <f>+'Almonds Margin - Alter.Ex.Rate'!BO15</f>
        <v>182.43737265112779</v>
      </c>
      <c r="BL15" s="7">
        <f>+'Almonds Margin - Alter.Ex.Rate'!BP15</f>
        <v>74.625447083007757</v>
      </c>
      <c r="BM15" s="7">
        <f>+'Almonds Margin - Alter.Ex.Rate'!BQ15</f>
        <v>95.03353349546758</v>
      </c>
    </row>
    <row r="16" spans="1:65" x14ac:dyDescent="0.2">
      <c r="A16" s="8">
        <f t="shared" si="5"/>
        <v>2030</v>
      </c>
      <c r="B16" s="22">
        <f>+'Grapes Margin - Baseline'!B16</f>
        <v>3494.9143520013477</v>
      </c>
      <c r="C16" s="22">
        <f t="shared" si="29"/>
        <v>3900.9814190346842</v>
      </c>
      <c r="E16" s="15">
        <f t="shared" si="30"/>
        <v>13.543367199266603</v>
      </c>
      <c r="F16" s="15">
        <f t="shared" si="30"/>
        <v>13.997842608637965</v>
      </c>
      <c r="H16" s="22">
        <f t="shared" si="0"/>
        <v>47332.908399141146</v>
      </c>
      <c r="I16" s="22">
        <f t="shared" si="1"/>
        <v>54605.323922868694</v>
      </c>
      <c r="K16" s="54">
        <f t="shared" si="31"/>
        <v>176</v>
      </c>
      <c r="L16" s="14">
        <f t="shared" si="6"/>
        <v>2.4149835341257639</v>
      </c>
      <c r="M16" s="7">
        <f t="shared" si="7"/>
        <v>425.03710200613443</v>
      </c>
      <c r="O16" s="15">
        <f t="shared" si="32"/>
        <v>4</v>
      </c>
      <c r="P16" s="7">
        <f t="shared" si="8"/>
        <v>48.742786927308998</v>
      </c>
      <c r="Q16" s="7">
        <f t="shared" si="9"/>
        <v>194.97114770923599</v>
      </c>
      <c r="S16" s="15">
        <f t="shared" si="33"/>
        <v>2</v>
      </c>
      <c r="T16" s="7">
        <f t="shared" si="10"/>
        <v>48.742786927308998</v>
      </c>
      <c r="U16" s="7">
        <f t="shared" si="11"/>
        <v>97.485573854617996</v>
      </c>
      <c r="W16" s="14">
        <f t="shared" si="34"/>
        <v>8</v>
      </c>
      <c r="X16" s="7">
        <f t="shared" si="12"/>
        <v>146.22836078192697</v>
      </c>
      <c r="Y16" s="22">
        <f t="shared" si="13"/>
        <v>1169.8268862554157</v>
      </c>
      <c r="AA16" s="7">
        <f t="shared" si="14"/>
        <v>79.606735337389125</v>
      </c>
      <c r="AB16" s="7">
        <f t="shared" si="2"/>
        <v>1114.322551840271</v>
      </c>
      <c r="AD16" s="7">
        <f t="shared" si="35"/>
        <v>15.4</v>
      </c>
      <c r="AE16" s="7">
        <f t="shared" si="15"/>
        <v>341.17172287452473</v>
      </c>
      <c r="AF16" s="22">
        <f t="shared" si="16"/>
        <v>5254.0445322676806</v>
      </c>
      <c r="AG16" s="7">
        <f t="shared" si="36"/>
        <v>32</v>
      </c>
      <c r="AH16" s="7">
        <f t="shared" si="17"/>
        <v>85.292930718631183</v>
      </c>
      <c r="AI16" s="22">
        <f t="shared" si="18"/>
        <v>2729.3737829961979</v>
      </c>
      <c r="AJ16" s="22">
        <f t="shared" si="3"/>
        <v>7983.418315263878</v>
      </c>
      <c r="AL16" s="15">
        <f t="shared" si="37"/>
        <v>0.5</v>
      </c>
      <c r="AM16" s="7">
        <f t="shared" si="19"/>
        <v>128.7323868281446</v>
      </c>
      <c r="AN16" s="7">
        <f t="shared" si="20"/>
        <v>64.366193414072299</v>
      </c>
      <c r="AP16" s="7">
        <f t="shared" si="38"/>
        <v>36</v>
      </c>
      <c r="AQ16" s="7">
        <f t="shared" si="21"/>
        <v>29.874441417201584</v>
      </c>
      <c r="AR16" s="22">
        <f t="shared" si="22"/>
        <v>1075.4798910192571</v>
      </c>
      <c r="AS16" s="7">
        <f t="shared" si="39"/>
        <v>60</v>
      </c>
      <c r="AT16" s="7">
        <f t="shared" si="23"/>
        <v>29.874441417201584</v>
      </c>
      <c r="AU16" s="22">
        <f t="shared" si="24"/>
        <v>1792.4664850320951</v>
      </c>
      <c r="AV16" s="22">
        <f t="shared" si="25"/>
        <v>2867.9463760513522</v>
      </c>
      <c r="AX16" s="7">
        <f t="shared" si="40"/>
        <v>231</v>
      </c>
      <c r="AY16" s="7">
        <f t="shared" si="26"/>
        <v>29.874441417201584</v>
      </c>
      <c r="AZ16" s="22">
        <f t="shared" si="41"/>
        <v>6900.9959673735657</v>
      </c>
      <c r="BB16" s="7">
        <f t="shared" si="42"/>
        <v>139.97842608637964</v>
      </c>
      <c r="BD16" s="22">
        <f t="shared" si="27"/>
        <v>20958.34853985492</v>
      </c>
      <c r="BF16" s="22">
        <f t="shared" si="4"/>
        <v>33646.975383013778</v>
      </c>
      <c r="BH16" s="15">
        <f t="shared" si="28"/>
        <v>5.1711574838642846</v>
      </c>
      <c r="BJ16" s="7">
        <f>+'Almonds Margin - Alter.Ex.Rate'!BN16</f>
        <v>166.96200473468454</v>
      </c>
      <c r="BK16" s="7">
        <f>+'Almonds Margin - Alter.Ex.Rate'!BO16</f>
        <v>188.27536857596388</v>
      </c>
      <c r="BL16" s="7">
        <f>+'Almonds Margin - Alter.Ex.Rate'!BP16</f>
        <v>74.625447083007757</v>
      </c>
      <c r="BM16" s="7">
        <f>+'Almonds Margin - Alter.Ex.Rate'!BQ16</f>
        <v>97.185236140647973</v>
      </c>
    </row>
    <row r="17" spans="1:65" x14ac:dyDescent="0.2">
      <c r="A17" s="8">
        <f t="shared" si="5"/>
        <v>2031</v>
      </c>
      <c r="B17" s="22">
        <f>+'Grapes Margin - Baseline'!B17</f>
        <v>3494.9143520013477</v>
      </c>
      <c r="C17" s="22">
        <f t="shared" si="29"/>
        <v>4025.8128244437944</v>
      </c>
      <c r="E17" s="15">
        <f t="shared" si="30"/>
        <v>13.400469966091556</v>
      </c>
      <c r="F17" s="15">
        <f t="shared" si="30"/>
        <v>13.85015016629597</v>
      </c>
      <c r="H17" s="22">
        <f t="shared" si="0"/>
        <v>46833.494808056392</v>
      </c>
      <c r="I17" s="22">
        <f t="shared" si="1"/>
        <v>55758.112159946671</v>
      </c>
      <c r="K17" s="54">
        <f t="shared" si="31"/>
        <v>176</v>
      </c>
      <c r="L17" s="14">
        <f t="shared" si="6"/>
        <v>2.4666695285830684</v>
      </c>
      <c r="M17" s="7">
        <f t="shared" si="7"/>
        <v>434.13383703062004</v>
      </c>
      <c r="O17" s="15">
        <f t="shared" si="32"/>
        <v>4</v>
      </c>
      <c r="P17" s="7">
        <f t="shared" si="8"/>
        <v>49.785990485162856</v>
      </c>
      <c r="Q17" s="7">
        <f t="shared" si="9"/>
        <v>199.14396194065142</v>
      </c>
      <c r="S17" s="15">
        <f t="shared" si="33"/>
        <v>2</v>
      </c>
      <c r="T17" s="7">
        <f t="shared" si="10"/>
        <v>49.785990485162856</v>
      </c>
      <c r="U17" s="7">
        <f t="shared" si="11"/>
        <v>99.571980970325711</v>
      </c>
      <c r="W17" s="14">
        <f t="shared" si="34"/>
        <v>8</v>
      </c>
      <c r="X17" s="7">
        <f t="shared" si="12"/>
        <v>149.35797145548852</v>
      </c>
      <c r="Y17" s="22">
        <f t="shared" si="13"/>
        <v>1194.8637716439082</v>
      </c>
      <c r="AA17" s="7">
        <f t="shared" si="14"/>
        <v>80.880443102787353</v>
      </c>
      <c r="AB17" s="7">
        <f t="shared" si="2"/>
        <v>1120.206282490162</v>
      </c>
      <c r="AD17" s="7">
        <f t="shared" si="35"/>
        <v>15.4</v>
      </c>
      <c r="AE17" s="7">
        <f t="shared" si="15"/>
        <v>346.63047044051712</v>
      </c>
      <c r="AF17" s="22">
        <f t="shared" si="16"/>
        <v>5338.1092447839637</v>
      </c>
      <c r="AG17" s="7">
        <f t="shared" si="36"/>
        <v>32</v>
      </c>
      <c r="AH17" s="7">
        <f t="shared" si="17"/>
        <v>86.657617610129279</v>
      </c>
      <c r="AI17" s="22">
        <f t="shared" si="18"/>
        <v>2773.0437635241369</v>
      </c>
      <c r="AJ17" s="22">
        <f t="shared" si="3"/>
        <v>8111.1530083081007</v>
      </c>
      <c r="AL17" s="15">
        <f t="shared" si="37"/>
        <v>0.5</v>
      </c>
      <c r="AM17" s="7">
        <f t="shared" si="19"/>
        <v>132.85182320664524</v>
      </c>
      <c r="AN17" s="7">
        <f t="shared" si="20"/>
        <v>66.425911603322618</v>
      </c>
      <c r="AP17" s="7">
        <f t="shared" si="38"/>
        <v>36</v>
      </c>
      <c r="AQ17" s="7">
        <f t="shared" si="21"/>
        <v>30.83042354255203</v>
      </c>
      <c r="AR17" s="22">
        <f t="shared" si="22"/>
        <v>1109.8952475318731</v>
      </c>
      <c r="AS17" s="7">
        <f t="shared" si="39"/>
        <v>60</v>
      </c>
      <c r="AT17" s="7">
        <f t="shared" si="23"/>
        <v>30.83042354255203</v>
      </c>
      <c r="AU17" s="22">
        <f t="shared" si="24"/>
        <v>1849.8254125531219</v>
      </c>
      <c r="AV17" s="22">
        <f t="shared" si="25"/>
        <v>2959.720660084995</v>
      </c>
      <c r="AX17" s="7">
        <f t="shared" si="40"/>
        <v>231</v>
      </c>
      <c r="AY17" s="7">
        <f t="shared" si="26"/>
        <v>30.83042354255203</v>
      </c>
      <c r="AZ17" s="22">
        <f t="shared" si="41"/>
        <v>7121.8278383295192</v>
      </c>
      <c r="BB17" s="7">
        <f t="shared" si="42"/>
        <v>138.5015016629597</v>
      </c>
      <c r="BD17" s="22">
        <f t="shared" si="27"/>
        <v>21445.548754064563</v>
      </c>
      <c r="BF17" s="22">
        <f t="shared" si="4"/>
        <v>34312.563405882109</v>
      </c>
      <c r="BH17" s="15">
        <f t="shared" si="28"/>
        <v>5.1314661801660426</v>
      </c>
      <c r="BJ17" s="7">
        <f>+'Almonds Margin - Alter.Ex.Rate'!BN17</f>
        <v>172.30478888619444</v>
      </c>
      <c r="BK17" s="7">
        <f>+'Almonds Margin - Alter.Ex.Rate'!BO17</f>
        <v>194.30018037039471</v>
      </c>
      <c r="BL17" s="7">
        <f>+'Almonds Margin - Alter.Ex.Rate'!BP17</f>
        <v>74.625447083007771</v>
      </c>
      <c r="BM17" s="7">
        <f>+'Almonds Margin - Alter.Ex.Rate'!BQ17</f>
        <v>99.265215364322373</v>
      </c>
    </row>
    <row r="18" spans="1:65" x14ac:dyDescent="0.2">
      <c r="A18" s="8">
        <f t="shared" si="5"/>
        <v>2032</v>
      </c>
      <c r="B18" s="22">
        <f>+'Grapes Margin - Baseline'!B18</f>
        <v>3494.9143520013477</v>
      </c>
      <c r="C18" s="22">
        <f t="shared" si="29"/>
        <v>4154.6388348259952</v>
      </c>
      <c r="E18" s="15">
        <f t="shared" si="30"/>
        <v>13.259080453924781</v>
      </c>
      <c r="F18" s="15">
        <f t="shared" si="30"/>
        <v>13.704016039626953</v>
      </c>
      <c r="H18" s="22">
        <f t="shared" si="0"/>
        <v>46339.350572762261</v>
      </c>
      <c r="I18" s="22">
        <f t="shared" si="1"/>
        <v>56935.237231312472</v>
      </c>
      <c r="K18" s="54">
        <f t="shared" si="31"/>
        <v>176</v>
      </c>
      <c r="L18" s="14">
        <f t="shared" si="6"/>
        <v>2.5183555230403729</v>
      </c>
      <c r="M18" s="7">
        <f t="shared" si="7"/>
        <v>443.23057205510565</v>
      </c>
      <c r="O18" s="15">
        <f t="shared" si="32"/>
        <v>4</v>
      </c>
      <c r="P18" s="7">
        <f t="shared" si="8"/>
        <v>50.829194043016699</v>
      </c>
      <c r="Q18" s="7">
        <f t="shared" si="9"/>
        <v>203.3167761720668</v>
      </c>
      <c r="S18" s="15">
        <f t="shared" si="33"/>
        <v>2</v>
      </c>
      <c r="T18" s="7">
        <f t="shared" si="10"/>
        <v>50.829194043016699</v>
      </c>
      <c r="U18" s="7">
        <f t="shared" si="11"/>
        <v>101.6583880860334</v>
      </c>
      <c r="W18" s="14">
        <f t="shared" si="34"/>
        <v>8</v>
      </c>
      <c r="X18" s="7">
        <f t="shared" si="12"/>
        <v>152.48758212905005</v>
      </c>
      <c r="Y18" s="22">
        <f t="shared" si="13"/>
        <v>1219.9006570324004</v>
      </c>
      <c r="AA18" s="7">
        <f t="shared" si="14"/>
        <v>82.174530192431959</v>
      </c>
      <c r="AB18" s="7">
        <f t="shared" si="2"/>
        <v>1126.1210798058969</v>
      </c>
      <c r="AD18" s="7">
        <f t="shared" si="35"/>
        <v>15.4</v>
      </c>
      <c r="AE18" s="7">
        <f t="shared" si="15"/>
        <v>352.17655796756537</v>
      </c>
      <c r="AF18" s="22">
        <f t="shared" si="16"/>
        <v>5423.5189927005067</v>
      </c>
      <c r="AG18" s="7">
        <f t="shared" si="36"/>
        <v>32</v>
      </c>
      <c r="AH18" s="7">
        <f t="shared" si="17"/>
        <v>88.044139491891343</v>
      </c>
      <c r="AI18" s="22">
        <f t="shared" si="18"/>
        <v>2817.412463740523</v>
      </c>
      <c r="AJ18" s="22">
        <f t="shared" si="3"/>
        <v>8240.9314564410306</v>
      </c>
      <c r="AL18" s="15">
        <f t="shared" si="37"/>
        <v>0.5</v>
      </c>
      <c r="AM18" s="7">
        <f t="shared" si="19"/>
        <v>137.10308154925789</v>
      </c>
      <c r="AN18" s="7">
        <f t="shared" si="20"/>
        <v>68.551540774628947</v>
      </c>
      <c r="AP18" s="7">
        <f t="shared" si="38"/>
        <v>36</v>
      </c>
      <c r="AQ18" s="7">
        <f t="shared" si="21"/>
        <v>31.816997095913695</v>
      </c>
      <c r="AR18" s="22">
        <f t="shared" si="22"/>
        <v>1145.4118954528931</v>
      </c>
      <c r="AS18" s="7">
        <f t="shared" si="39"/>
        <v>60</v>
      </c>
      <c r="AT18" s="7">
        <f t="shared" si="23"/>
        <v>31.816997095913695</v>
      </c>
      <c r="AU18" s="22">
        <f t="shared" si="24"/>
        <v>1909.0198257548218</v>
      </c>
      <c r="AV18" s="22">
        <f t="shared" si="25"/>
        <v>3054.4317212077149</v>
      </c>
      <c r="AX18" s="7">
        <f t="shared" si="40"/>
        <v>231</v>
      </c>
      <c r="AY18" s="7">
        <f t="shared" si="26"/>
        <v>31.816997095913695</v>
      </c>
      <c r="AZ18" s="22">
        <f t="shared" si="41"/>
        <v>7349.7263291560639</v>
      </c>
      <c r="BB18" s="7">
        <f t="shared" si="42"/>
        <v>137.04016039626953</v>
      </c>
      <c r="BD18" s="22">
        <f t="shared" si="27"/>
        <v>21944.908681127214</v>
      </c>
      <c r="BF18" s="22">
        <f t="shared" si="4"/>
        <v>34990.328550185259</v>
      </c>
      <c r="BH18" s="15">
        <f t="shared" si="28"/>
        <v>5.0921898826809979</v>
      </c>
      <c r="BJ18" s="7">
        <f>+'Almonds Margin - Alter.Ex.Rate'!BN18</f>
        <v>177.81854213055266</v>
      </c>
      <c r="BK18" s="7">
        <f>+'Almonds Margin - Alter.Ex.Rate'!BO18</f>
        <v>200.51778614224733</v>
      </c>
      <c r="BL18" s="7">
        <f>+'Almonds Margin - Alter.Ex.Rate'!BP18</f>
        <v>74.625447083007757</v>
      </c>
      <c r="BM18" s="7">
        <f>+'Almonds Margin - Alter.Ex.Rate'!BQ18</f>
        <v>101.34519458799676</v>
      </c>
    </row>
    <row r="19" spans="1:65" x14ac:dyDescent="0.2">
      <c r="A19" s="8">
        <f t="shared" si="5"/>
        <v>2033</v>
      </c>
      <c r="B19" s="22">
        <f>+'Grapes Margin - Baseline'!B19</f>
        <v>3494.9143520013477</v>
      </c>
      <c r="C19" s="22">
        <f t="shared" si="29"/>
        <v>4287.5872775404268</v>
      </c>
      <c r="E19" s="15">
        <f t="shared" si="30"/>
        <v>13.119182754672131</v>
      </c>
      <c r="F19" s="15">
        <f t="shared" si="30"/>
        <v>13.559423786708107</v>
      </c>
      <c r="H19" s="22">
        <f t="shared" si="0"/>
        <v>45850.420095832204</v>
      </c>
      <c r="I19" s="22">
        <f t="shared" si="1"/>
        <v>58137.212918668716</v>
      </c>
      <c r="K19" s="54">
        <f t="shared" si="31"/>
        <v>176</v>
      </c>
      <c r="L19" s="14">
        <f t="shared" si="6"/>
        <v>2.5700415174976765</v>
      </c>
      <c r="M19" s="7">
        <f t="shared" si="7"/>
        <v>452.32730707959104</v>
      </c>
      <c r="O19" s="15">
        <f t="shared" si="32"/>
        <v>4</v>
      </c>
      <c r="P19" s="7">
        <f t="shared" si="8"/>
        <v>51.872397600870535</v>
      </c>
      <c r="Q19" s="7">
        <f t="shared" si="9"/>
        <v>207.48959040348214</v>
      </c>
      <c r="S19" s="15">
        <f t="shared" si="33"/>
        <v>2</v>
      </c>
      <c r="T19" s="7">
        <f t="shared" si="10"/>
        <v>51.872397600870535</v>
      </c>
      <c r="U19" s="7">
        <f t="shared" si="11"/>
        <v>103.74479520174107</v>
      </c>
      <c r="W19" s="14">
        <f t="shared" si="34"/>
        <v>8</v>
      </c>
      <c r="X19" s="7">
        <f t="shared" si="12"/>
        <v>155.61719280261158</v>
      </c>
      <c r="Y19" s="22">
        <f t="shared" si="13"/>
        <v>1244.9375424208927</v>
      </c>
      <c r="AA19" s="7">
        <f t="shared" si="14"/>
        <v>83.489322675510877</v>
      </c>
      <c r="AB19" s="7">
        <f t="shared" si="2"/>
        <v>1132.0671078224707</v>
      </c>
      <c r="AD19" s="7">
        <f t="shared" si="35"/>
        <v>15.4</v>
      </c>
      <c r="AE19" s="7">
        <f t="shared" si="15"/>
        <v>357.81138289504645</v>
      </c>
      <c r="AF19" s="22">
        <f t="shared" si="16"/>
        <v>5510.2952965837158</v>
      </c>
      <c r="AG19" s="7">
        <f t="shared" si="36"/>
        <v>32</v>
      </c>
      <c r="AH19" s="7">
        <f t="shared" si="17"/>
        <v>89.452845723761612</v>
      </c>
      <c r="AI19" s="22">
        <f t="shared" si="18"/>
        <v>2862.4910631603716</v>
      </c>
      <c r="AJ19" s="22">
        <f t="shared" si="3"/>
        <v>8372.7863597440883</v>
      </c>
      <c r="AL19" s="15">
        <f t="shared" si="37"/>
        <v>0.5</v>
      </c>
      <c r="AM19" s="7">
        <f t="shared" si="19"/>
        <v>141.49038015883414</v>
      </c>
      <c r="AN19" s="7">
        <f t="shared" si="20"/>
        <v>70.745190079417071</v>
      </c>
      <c r="AP19" s="7">
        <f t="shared" si="38"/>
        <v>36</v>
      </c>
      <c r="AQ19" s="7">
        <f t="shared" si="21"/>
        <v>32.83514100298293</v>
      </c>
      <c r="AR19" s="22">
        <f t="shared" si="22"/>
        <v>1182.0650761073855</v>
      </c>
      <c r="AS19" s="7">
        <f t="shared" si="39"/>
        <v>60</v>
      </c>
      <c r="AT19" s="7">
        <f t="shared" si="23"/>
        <v>32.83514100298293</v>
      </c>
      <c r="AU19" s="22">
        <f t="shared" si="24"/>
        <v>1970.1084601789757</v>
      </c>
      <c r="AV19" s="22">
        <f t="shared" si="25"/>
        <v>3152.173536286361</v>
      </c>
      <c r="AX19" s="7">
        <f t="shared" si="40"/>
        <v>231</v>
      </c>
      <c r="AY19" s="7">
        <f t="shared" si="26"/>
        <v>32.83514100298293</v>
      </c>
      <c r="AZ19" s="22">
        <f t="shared" si="41"/>
        <v>7584.9175716890568</v>
      </c>
      <c r="BB19" s="7">
        <f t="shared" si="42"/>
        <v>135.59423786708106</v>
      </c>
      <c r="BD19" s="22">
        <f t="shared" si="27"/>
        <v>22456.78323859418</v>
      </c>
      <c r="BF19" s="22">
        <f t="shared" si="4"/>
        <v>35680.429680074536</v>
      </c>
      <c r="BH19" s="15">
        <f t="shared" si="28"/>
        <v>5.0533333876258695</v>
      </c>
      <c r="BJ19" s="7">
        <f>+'Almonds Margin - Alter.Ex.Rate'!BN19</f>
        <v>183.50873547873033</v>
      </c>
      <c r="BK19" s="7">
        <f>+'Almonds Margin - Alter.Ex.Rate'!BO19</f>
        <v>206.93435529879923</v>
      </c>
      <c r="BL19" s="7">
        <f>+'Almonds Margin - Alter.Ex.Rate'!BP19</f>
        <v>74.625447083007742</v>
      </c>
      <c r="BM19" s="7">
        <f>+'Almonds Margin - Alter.Ex.Rate'!BQ19</f>
        <v>103.42517381167113</v>
      </c>
    </row>
    <row r="20" spans="1:65" x14ac:dyDescent="0.2">
      <c r="A20" s="8">
        <f t="shared" si="5"/>
        <v>2034</v>
      </c>
      <c r="B20" s="22">
        <f>+'Grapes Margin - Baseline'!B20</f>
        <v>3494.9143520013477</v>
      </c>
      <c r="C20" s="22">
        <f t="shared" si="29"/>
        <v>4424.79007042172</v>
      </c>
      <c r="E20" s="15">
        <f t="shared" si="30"/>
        <v>12.98076112808713</v>
      </c>
      <c r="F20" s="15">
        <f t="shared" si="30"/>
        <v>13.416357139096762</v>
      </c>
      <c r="H20" s="22">
        <f t="shared" si="0"/>
        <v>45366.648366452915</v>
      </c>
      <c r="I20" s="22">
        <f t="shared" si="1"/>
        <v>59364.563850306906</v>
      </c>
      <c r="K20" s="54">
        <f t="shared" si="31"/>
        <v>176</v>
      </c>
      <c r="L20" s="14">
        <f t="shared" si="6"/>
        <v>2.621727511954981</v>
      </c>
      <c r="M20" s="7">
        <f t="shared" si="7"/>
        <v>461.42404210407665</v>
      </c>
      <c r="O20" s="15">
        <f t="shared" si="32"/>
        <v>4</v>
      </c>
      <c r="P20" s="7">
        <f t="shared" si="8"/>
        <v>52.915601158724392</v>
      </c>
      <c r="Q20" s="7">
        <f t="shared" si="9"/>
        <v>211.66240463489757</v>
      </c>
      <c r="S20" s="15">
        <f t="shared" si="33"/>
        <v>2</v>
      </c>
      <c r="T20" s="7">
        <f t="shared" si="10"/>
        <v>52.915601158724392</v>
      </c>
      <c r="U20" s="7">
        <f t="shared" si="11"/>
        <v>105.83120231744878</v>
      </c>
      <c r="W20" s="14">
        <f t="shared" si="34"/>
        <v>8</v>
      </c>
      <c r="X20" s="7">
        <f t="shared" si="12"/>
        <v>158.74680347617314</v>
      </c>
      <c r="Y20" s="22">
        <f t="shared" si="13"/>
        <v>1269.9744278093851</v>
      </c>
      <c r="AA20" s="7">
        <f t="shared" si="14"/>
        <v>84.825151838319059</v>
      </c>
      <c r="AB20" s="7">
        <f t="shared" si="2"/>
        <v>1138.0445314409988</v>
      </c>
      <c r="AD20" s="7">
        <f t="shared" si="35"/>
        <v>15.4</v>
      </c>
      <c r="AE20" s="7">
        <f t="shared" si="15"/>
        <v>363.5363650213672</v>
      </c>
      <c r="AF20" s="22">
        <f t="shared" si="16"/>
        <v>5598.4600213290551</v>
      </c>
      <c r="AG20" s="7">
        <f t="shared" si="36"/>
        <v>32</v>
      </c>
      <c r="AH20" s="7">
        <f t="shared" si="17"/>
        <v>90.884091255341801</v>
      </c>
      <c r="AI20" s="22">
        <f t="shared" si="18"/>
        <v>2908.2909201709376</v>
      </c>
      <c r="AJ20" s="22">
        <f t="shared" si="3"/>
        <v>8506.7509414999931</v>
      </c>
      <c r="AL20" s="15">
        <f t="shared" si="37"/>
        <v>0.5</v>
      </c>
      <c r="AM20" s="7">
        <f t="shared" si="19"/>
        <v>146.01807232391684</v>
      </c>
      <c r="AN20" s="7">
        <f t="shared" si="20"/>
        <v>73.00903616195842</v>
      </c>
      <c r="AP20" s="7">
        <f t="shared" si="38"/>
        <v>36</v>
      </c>
      <c r="AQ20" s="7">
        <f t="shared" si="21"/>
        <v>33.885865515078386</v>
      </c>
      <c r="AR20" s="22">
        <f t="shared" si="22"/>
        <v>1219.8911585428218</v>
      </c>
      <c r="AS20" s="7">
        <f t="shared" si="39"/>
        <v>60</v>
      </c>
      <c r="AT20" s="7">
        <f t="shared" si="23"/>
        <v>33.885865515078386</v>
      </c>
      <c r="AU20" s="22">
        <f t="shared" si="24"/>
        <v>2033.1519309047032</v>
      </c>
      <c r="AV20" s="22">
        <f t="shared" si="25"/>
        <v>3253.0430894475248</v>
      </c>
      <c r="AX20" s="7">
        <f t="shared" si="40"/>
        <v>231</v>
      </c>
      <c r="AY20" s="7">
        <f t="shared" si="26"/>
        <v>33.885865515078386</v>
      </c>
      <c r="AZ20" s="22">
        <f t="shared" si="41"/>
        <v>7827.6349339831067</v>
      </c>
      <c r="BB20" s="7">
        <f t="shared" si="42"/>
        <v>134.16357139096763</v>
      </c>
      <c r="BD20" s="22">
        <f t="shared" si="27"/>
        <v>22981.538180790358</v>
      </c>
      <c r="BF20" s="22">
        <f t="shared" si="4"/>
        <v>36383.025669516544</v>
      </c>
      <c r="BH20" s="15">
        <f t="shared" si="28"/>
        <v>5.0149009026995071</v>
      </c>
      <c r="BJ20" s="7">
        <f>+'Almonds Margin - Alter.Ex.Rate'!BN20</f>
        <v>189.38101501404969</v>
      </c>
      <c r="BK20" s="7">
        <f>+'Almonds Margin - Alter.Ex.Rate'!BO20</f>
        <v>213.55625466836082</v>
      </c>
      <c r="BL20" s="7">
        <f>+'Almonds Margin - Alter.Ex.Rate'!BP20</f>
        <v>74.625447083007742</v>
      </c>
      <c r="BM20" s="7">
        <f>+'Almonds Margin - Alter.Ex.Rate'!BQ20</f>
        <v>105.50515303534553</v>
      </c>
    </row>
    <row r="21" spans="1:65" x14ac:dyDescent="0.2">
      <c r="A21" s="8">
        <f t="shared" si="5"/>
        <v>2035</v>
      </c>
      <c r="B21" s="22">
        <f>+'Grapes Margin - Baseline'!B21</f>
        <v>3494.9143520013477</v>
      </c>
      <c r="C21" s="22">
        <f t="shared" si="29"/>
        <v>4566.3833526752151</v>
      </c>
      <c r="E21" s="15">
        <f>+E7*'Grapes Margin - Baseline'!E21/'Grapes Margin - Baseline'!E7</f>
        <v>12.8438</v>
      </c>
      <c r="F21" s="15">
        <f>+F7*E21/E7</f>
        <v>13.274800000000001</v>
      </c>
      <c r="H21" s="22">
        <f t="shared" si="0"/>
        <v>44887.98095423491</v>
      </c>
      <c r="I21" s="22">
        <f t="shared" si="1"/>
        <v>60617.825730092947</v>
      </c>
      <c r="K21" s="54">
        <f t="shared" si="31"/>
        <v>176</v>
      </c>
      <c r="L21" s="14">
        <f t="shared" si="6"/>
        <v>2.673413506412285</v>
      </c>
      <c r="M21" s="7">
        <f t="shared" si="7"/>
        <v>470.52077712856214</v>
      </c>
      <c r="O21" s="15">
        <f t="shared" si="32"/>
        <v>4</v>
      </c>
      <c r="P21" s="7">
        <f t="shared" si="8"/>
        <v>53.958804716578243</v>
      </c>
      <c r="Q21" s="7">
        <f t="shared" si="9"/>
        <v>215.83521886631297</v>
      </c>
      <c r="S21" s="15">
        <f t="shared" si="33"/>
        <v>2</v>
      </c>
      <c r="T21" s="7">
        <f t="shared" si="10"/>
        <v>53.958804716578243</v>
      </c>
      <c r="U21" s="7">
        <f t="shared" si="11"/>
        <v>107.91760943315649</v>
      </c>
      <c r="W21" s="14">
        <f t="shared" si="34"/>
        <v>8</v>
      </c>
      <c r="X21" s="7">
        <f t="shared" si="12"/>
        <v>161.87641414973467</v>
      </c>
      <c r="Y21" s="22">
        <f t="shared" si="13"/>
        <v>1295.0113131978774</v>
      </c>
      <c r="AA21" s="7">
        <f t="shared" si="14"/>
        <v>86.182354267732165</v>
      </c>
      <c r="AB21" s="7">
        <f t="shared" si="2"/>
        <v>1144.053516433291</v>
      </c>
      <c r="AD21" s="7">
        <f t="shared" si="35"/>
        <v>15.4</v>
      </c>
      <c r="AE21" s="7">
        <f t="shared" si="15"/>
        <v>369.35294686170909</v>
      </c>
      <c r="AF21" s="22">
        <f t="shared" si="16"/>
        <v>5688.03538167032</v>
      </c>
      <c r="AG21" s="7">
        <f t="shared" si="36"/>
        <v>32</v>
      </c>
      <c r="AH21" s="7">
        <f t="shared" si="17"/>
        <v>92.338236715427271</v>
      </c>
      <c r="AI21" s="22">
        <f t="shared" si="18"/>
        <v>2954.8235748936727</v>
      </c>
      <c r="AJ21" s="22">
        <f t="shared" si="3"/>
        <v>8642.8589565639923</v>
      </c>
      <c r="AL21" s="15">
        <f t="shared" si="37"/>
        <v>0.5</v>
      </c>
      <c r="AM21" s="7">
        <f t="shared" si="19"/>
        <v>150.69065063828216</v>
      </c>
      <c r="AN21" s="7">
        <f t="shared" si="20"/>
        <v>75.345325319141082</v>
      </c>
      <c r="AP21" s="7">
        <f t="shared" si="38"/>
        <v>36</v>
      </c>
      <c r="AQ21" s="7">
        <f t="shared" si="21"/>
        <v>34.970213211560896</v>
      </c>
      <c r="AR21" s="22">
        <f t="shared" si="22"/>
        <v>1258.9276756161923</v>
      </c>
      <c r="AS21" s="7">
        <f t="shared" si="39"/>
        <v>60</v>
      </c>
      <c r="AT21" s="7">
        <f t="shared" si="23"/>
        <v>34.970213211560896</v>
      </c>
      <c r="AU21" s="22">
        <f t="shared" si="24"/>
        <v>2098.2127926936537</v>
      </c>
      <c r="AV21" s="22">
        <f t="shared" si="25"/>
        <v>3357.1404683098463</v>
      </c>
      <c r="AX21" s="7">
        <f t="shared" si="40"/>
        <v>231</v>
      </c>
      <c r="AY21" s="7">
        <f t="shared" si="26"/>
        <v>34.970213211560896</v>
      </c>
      <c r="AZ21" s="22">
        <f t="shared" si="41"/>
        <v>8078.1192518705666</v>
      </c>
      <c r="BB21" s="7">
        <f t="shared" si="42"/>
        <v>132.74800000000002</v>
      </c>
      <c r="BD21" s="22">
        <f t="shared" si="27"/>
        <v>23519.550437122747</v>
      </c>
      <c r="BF21" s="22">
        <f t="shared" si="4"/>
        <v>37098.275292970196</v>
      </c>
      <c r="BH21" s="15">
        <f t="shared" si="28"/>
        <v>4.9768960779824516</v>
      </c>
      <c r="BJ21" s="7">
        <f>+'Almonds Margin - Alter.Ex.Rate'!BN21</f>
        <v>195.44120749449928</v>
      </c>
      <c r="BK21" s="7">
        <f>+'Almonds Margin - Alter.Ex.Rate'!BO21</f>
        <v>220.39005481774836</v>
      </c>
      <c r="BL21" s="7">
        <f>+'Almonds Margin - Alter.Ex.Rate'!BP21</f>
        <v>74.625447083007742</v>
      </c>
      <c r="BM21" s="7">
        <f>+'Almonds Margin - Alter.Ex.Rate'!BQ21</f>
        <v>107.58513225901991</v>
      </c>
    </row>
    <row r="22" spans="1:65" x14ac:dyDescent="0.2">
      <c r="A22" s="8">
        <f t="shared" si="5"/>
        <v>2036</v>
      </c>
      <c r="B22" s="22">
        <f>+'Grapes Margin - Baseline'!B22</f>
        <v>3494.9143520013477</v>
      </c>
      <c r="C22" s="22">
        <f t="shared" si="29"/>
        <v>4712.507619960822</v>
      </c>
      <c r="E22" s="15">
        <f>E21*((E$41/E$21)^(1/($A$41-$A$21)))</f>
        <v>12.797551601460592</v>
      </c>
      <c r="F22" s="15">
        <f>F21*((F$41/F$21)^(1/($A$41-$A$21)))</f>
        <v>13.226999641778063</v>
      </c>
      <c r="H22" s="22">
        <f t="shared" si="0"/>
        <v>44726.34676242245</v>
      </c>
      <c r="I22" s="22">
        <f t="shared" si="1"/>
        <v>62332.336601098184</v>
      </c>
      <c r="K22" s="54">
        <f t="shared" si="31"/>
        <v>176</v>
      </c>
      <c r="L22" s="14">
        <f t="shared" si="6"/>
        <v>2.6734135064122846</v>
      </c>
      <c r="M22" s="7">
        <f t="shared" si="7"/>
        <v>470.52077712856209</v>
      </c>
      <c r="O22" s="15">
        <f t="shared" si="32"/>
        <v>4</v>
      </c>
      <c r="P22" s="7">
        <f t="shared" si="8"/>
        <v>53.958804716578243</v>
      </c>
      <c r="Q22" s="7">
        <f t="shared" si="9"/>
        <v>215.83521886631297</v>
      </c>
      <c r="S22" s="15">
        <f t="shared" si="33"/>
        <v>2</v>
      </c>
      <c r="T22" s="7">
        <f t="shared" si="10"/>
        <v>53.958804716578243</v>
      </c>
      <c r="U22" s="7">
        <f t="shared" si="11"/>
        <v>107.91760943315649</v>
      </c>
      <c r="W22" s="14">
        <f t="shared" si="34"/>
        <v>8</v>
      </c>
      <c r="X22" s="7">
        <f t="shared" si="12"/>
        <v>161.87641414973467</v>
      </c>
      <c r="Y22" s="22">
        <f t="shared" si="13"/>
        <v>1295.0113131978774</v>
      </c>
      <c r="AA22" s="7">
        <f t="shared" si="14"/>
        <v>87.561271936015885</v>
      </c>
      <c r="AB22" s="7">
        <f t="shared" si="2"/>
        <v>1158.1729125313136</v>
      </c>
      <c r="AD22" s="7">
        <f t="shared" si="35"/>
        <v>15.4</v>
      </c>
      <c r="AE22" s="7">
        <f t="shared" si="15"/>
        <v>375.26259401149645</v>
      </c>
      <c r="AF22" s="22">
        <f t="shared" si="16"/>
        <v>5779.0439477770451</v>
      </c>
      <c r="AG22" s="7">
        <f t="shared" si="36"/>
        <v>32</v>
      </c>
      <c r="AH22" s="7">
        <f t="shared" si="17"/>
        <v>93.815648502874112</v>
      </c>
      <c r="AI22" s="22">
        <f t="shared" si="18"/>
        <v>3002.1007520919716</v>
      </c>
      <c r="AJ22" s="22">
        <f t="shared" si="3"/>
        <v>8781.1446998690171</v>
      </c>
      <c r="AL22" s="15">
        <f t="shared" si="37"/>
        <v>0.5</v>
      </c>
      <c r="AM22" s="7">
        <f t="shared" si="19"/>
        <v>155.51275145870719</v>
      </c>
      <c r="AN22" s="7">
        <f t="shared" si="20"/>
        <v>77.756375729353593</v>
      </c>
      <c r="AP22" s="7">
        <f t="shared" si="38"/>
        <v>36</v>
      </c>
      <c r="AQ22" s="7">
        <f t="shared" si="21"/>
        <v>36.089260034330849</v>
      </c>
      <c r="AR22" s="22">
        <f t="shared" si="22"/>
        <v>1299.2133612359105</v>
      </c>
      <c r="AS22" s="7">
        <f t="shared" si="39"/>
        <v>60</v>
      </c>
      <c r="AT22" s="7">
        <f t="shared" si="23"/>
        <v>36.089260034330849</v>
      </c>
      <c r="AU22" s="22">
        <f t="shared" si="24"/>
        <v>2165.3556020598508</v>
      </c>
      <c r="AV22" s="22">
        <f t="shared" si="25"/>
        <v>3464.568963295761</v>
      </c>
      <c r="AX22" s="7">
        <f t="shared" si="40"/>
        <v>231</v>
      </c>
      <c r="AY22" s="7">
        <f t="shared" si="26"/>
        <v>36.089260034330849</v>
      </c>
      <c r="AZ22" s="22">
        <f t="shared" si="41"/>
        <v>8336.6190679304254</v>
      </c>
      <c r="BB22" s="7">
        <f t="shared" si="42"/>
        <v>132.26999641778062</v>
      </c>
      <c r="BD22" s="22">
        <f t="shared" si="27"/>
        <v>24039.816934399561</v>
      </c>
      <c r="BF22" s="22">
        <f t="shared" si="4"/>
        <v>38292.519666698623</v>
      </c>
      <c r="BH22" s="15">
        <f t="shared" si="28"/>
        <v>4.9305675249538377</v>
      </c>
      <c r="BJ22" s="7">
        <f>+'Almonds Margin - Alter.Ex.Rate'!BN22</f>
        <v>201.69532613432327</v>
      </c>
      <c r="BK22" s="7">
        <f>+'Almonds Margin - Alter.Ex.Rate'!BO22</f>
        <v>227.44253657191632</v>
      </c>
      <c r="BL22" s="7">
        <f>+'Almonds Margin - Alter.Ex.Rate'!BP22</f>
        <v>74.625447083007742</v>
      </c>
      <c r="BM22" s="7">
        <f>+'Almonds Margin - Alter.Ex.Rate'!BQ22</f>
        <v>107.58513225901991</v>
      </c>
    </row>
    <row r="23" spans="1:65" x14ac:dyDescent="0.2">
      <c r="A23" s="8">
        <f t="shared" si="5"/>
        <v>2037</v>
      </c>
      <c r="B23" s="22">
        <f>+'Grapes Margin - Baseline'!B23</f>
        <v>3494.9143520013477</v>
      </c>
      <c r="C23" s="22">
        <f t="shared" si="29"/>
        <v>4863.3078637995686</v>
      </c>
      <c r="E23" s="15">
        <f t="shared" ref="E23:F40" si="43">E22*((E$41/E$21)^(1/($A$41-$A$21)))</f>
        <v>12.751469735751613</v>
      </c>
      <c r="F23" s="15">
        <f t="shared" si="43"/>
        <v>13.179371404736568</v>
      </c>
      <c r="H23" s="22">
        <f t="shared" si="0"/>
        <v>44565.294588589146</v>
      </c>
      <c r="I23" s="22">
        <f t="shared" si="1"/>
        <v>64095.340592590517</v>
      </c>
      <c r="K23" s="54">
        <f t="shared" si="31"/>
        <v>176</v>
      </c>
      <c r="L23" s="14">
        <f t="shared" si="6"/>
        <v>2.6734135064122846</v>
      </c>
      <c r="M23" s="7">
        <f t="shared" si="7"/>
        <v>470.52077712856209</v>
      </c>
      <c r="O23" s="15">
        <f t="shared" si="32"/>
        <v>4</v>
      </c>
      <c r="P23" s="7">
        <f t="shared" si="8"/>
        <v>53.958804716578243</v>
      </c>
      <c r="Q23" s="7">
        <f t="shared" si="9"/>
        <v>215.83521886631297</v>
      </c>
      <c r="S23" s="15">
        <f t="shared" si="33"/>
        <v>2</v>
      </c>
      <c r="T23" s="7">
        <f t="shared" si="10"/>
        <v>53.958804716578243</v>
      </c>
      <c r="U23" s="7">
        <f t="shared" si="11"/>
        <v>107.91760943315649</v>
      </c>
      <c r="W23" s="14">
        <f t="shared" si="34"/>
        <v>8</v>
      </c>
      <c r="X23" s="7">
        <f t="shared" si="12"/>
        <v>161.8764141497347</v>
      </c>
      <c r="Y23" s="22">
        <f t="shared" si="13"/>
        <v>1295.0113131978776</v>
      </c>
      <c r="AA23" s="7">
        <f t="shared" si="14"/>
        <v>88.96225228699214</v>
      </c>
      <c r="AB23" s="7">
        <f t="shared" si="2"/>
        <v>1172.4665638921444</v>
      </c>
      <c r="AD23" s="7">
        <f t="shared" si="35"/>
        <v>15.4</v>
      </c>
      <c r="AE23" s="7">
        <f t="shared" si="15"/>
        <v>381.26679551568037</v>
      </c>
      <c r="AF23" s="22">
        <f t="shared" si="16"/>
        <v>5871.5086509414778</v>
      </c>
      <c r="AG23" s="7">
        <f t="shared" si="36"/>
        <v>32</v>
      </c>
      <c r="AH23" s="7">
        <f t="shared" si="17"/>
        <v>95.316698878920093</v>
      </c>
      <c r="AI23" s="22">
        <f t="shared" si="18"/>
        <v>3050.134364125443</v>
      </c>
      <c r="AJ23" s="22">
        <f t="shared" si="3"/>
        <v>8921.6430150669203</v>
      </c>
      <c r="AL23" s="15">
        <f t="shared" si="37"/>
        <v>0.5</v>
      </c>
      <c r="AM23" s="7">
        <f t="shared" si="19"/>
        <v>160.4891595053858</v>
      </c>
      <c r="AN23" s="7">
        <f t="shared" si="20"/>
        <v>80.2445797526929</v>
      </c>
      <c r="AP23" s="7">
        <f t="shared" si="38"/>
        <v>36</v>
      </c>
      <c r="AQ23" s="7">
        <f t="shared" si="21"/>
        <v>37.244116355429433</v>
      </c>
      <c r="AR23" s="22">
        <f t="shared" si="22"/>
        <v>1340.7881887954595</v>
      </c>
      <c r="AS23" s="7">
        <f t="shared" si="39"/>
        <v>60</v>
      </c>
      <c r="AT23" s="7">
        <f t="shared" si="23"/>
        <v>37.244116355429433</v>
      </c>
      <c r="AU23" s="22">
        <f t="shared" si="24"/>
        <v>2234.6469813257659</v>
      </c>
      <c r="AV23" s="22">
        <f t="shared" si="25"/>
        <v>3575.4351701212254</v>
      </c>
      <c r="AX23" s="7">
        <f t="shared" si="40"/>
        <v>231</v>
      </c>
      <c r="AY23" s="7">
        <f t="shared" si="26"/>
        <v>37.244116355429433</v>
      </c>
      <c r="AZ23" s="22">
        <f t="shared" si="41"/>
        <v>8603.3908781041991</v>
      </c>
      <c r="BB23" s="7">
        <f t="shared" si="42"/>
        <v>131.79371404736568</v>
      </c>
      <c r="BD23" s="22">
        <f t="shared" si="27"/>
        <v>24574.258839610455</v>
      </c>
      <c r="BF23" s="22">
        <f t="shared" si="4"/>
        <v>39521.081752980062</v>
      </c>
      <c r="BH23" s="15">
        <f t="shared" si="28"/>
        <v>4.885221535348907</v>
      </c>
      <c r="BJ23" s="7">
        <f>+'Almonds Margin - Alter.Ex.Rate'!BN23</f>
        <v>208.1495765706216</v>
      </c>
      <c r="BK23" s="7">
        <f>+'Almonds Margin - Alter.Ex.Rate'!BO23</f>
        <v>234.72069774221765</v>
      </c>
      <c r="BL23" s="7">
        <f>+'Almonds Margin - Alter.Ex.Rate'!BP23</f>
        <v>74.625447083007742</v>
      </c>
      <c r="BM23" s="7">
        <f>+'Almonds Margin - Alter.Ex.Rate'!BQ23</f>
        <v>107.58513225901993</v>
      </c>
    </row>
    <row r="24" spans="1:65" x14ac:dyDescent="0.2">
      <c r="A24" s="8">
        <f t="shared" si="5"/>
        <v>2038</v>
      </c>
      <c r="B24" s="22">
        <f>+'Grapes Margin - Baseline'!B24</f>
        <v>3494.9143520013477</v>
      </c>
      <c r="C24" s="22">
        <f t="shared" si="29"/>
        <v>5018.9337154411542</v>
      </c>
      <c r="E24" s="15">
        <f t="shared" si="43"/>
        <v>12.705553803215896</v>
      </c>
      <c r="F24" s="15">
        <f t="shared" si="43"/>
        <v>13.131914669095625</v>
      </c>
      <c r="H24" s="22">
        <f t="shared" si="0"/>
        <v>44404.822336984544</v>
      </c>
      <c r="I24" s="22">
        <f t="shared" si="1"/>
        <v>65908.209281020303</v>
      </c>
      <c r="K24" s="54">
        <f t="shared" si="31"/>
        <v>176</v>
      </c>
      <c r="L24" s="14">
        <f t="shared" si="6"/>
        <v>2.6734135064122846</v>
      </c>
      <c r="M24" s="7">
        <f t="shared" si="7"/>
        <v>470.52077712856209</v>
      </c>
      <c r="O24" s="15">
        <f t="shared" si="32"/>
        <v>4</v>
      </c>
      <c r="P24" s="7">
        <f t="shared" si="8"/>
        <v>53.958804716578236</v>
      </c>
      <c r="Q24" s="7">
        <f t="shared" si="9"/>
        <v>215.83521886631294</v>
      </c>
      <c r="S24" s="15">
        <f t="shared" si="33"/>
        <v>2</v>
      </c>
      <c r="T24" s="7">
        <f t="shared" si="10"/>
        <v>53.958804716578236</v>
      </c>
      <c r="U24" s="7">
        <f t="shared" si="11"/>
        <v>107.91760943315647</v>
      </c>
      <c r="W24" s="14">
        <f t="shared" si="34"/>
        <v>8</v>
      </c>
      <c r="X24" s="7">
        <f t="shared" si="12"/>
        <v>161.87641414973473</v>
      </c>
      <c r="Y24" s="22">
        <f t="shared" si="13"/>
        <v>1295.0113131978778</v>
      </c>
      <c r="AA24" s="7">
        <f t="shared" si="14"/>
        <v>90.385648323584022</v>
      </c>
      <c r="AB24" s="7">
        <f t="shared" si="2"/>
        <v>1186.9366210961914</v>
      </c>
      <c r="AD24" s="7">
        <f t="shared" si="35"/>
        <v>15.4</v>
      </c>
      <c r="AE24" s="7">
        <f t="shared" si="15"/>
        <v>387.36706424393128</v>
      </c>
      <c r="AF24" s="22">
        <f t="shared" si="16"/>
        <v>5965.4527893565419</v>
      </c>
      <c r="AG24" s="7">
        <f t="shared" si="36"/>
        <v>32</v>
      </c>
      <c r="AH24" s="7">
        <f t="shared" si="17"/>
        <v>96.84176606098282</v>
      </c>
      <c r="AI24" s="22">
        <f t="shared" si="18"/>
        <v>3098.9365139514503</v>
      </c>
      <c r="AJ24" s="22">
        <f t="shared" si="3"/>
        <v>9064.3893033079912</v>
      </c>
      <c r="AL24" s="15">
        <f t="shared" si="37"/>
        <v>0.5</v>
      </c>
      <c r="AM24" s="7">
        <f t="shared" si="19"/>
        <v>165.62481260955815</v>
      </c>
      <c r="AN24" s="7">
        <f t="shared" si="20"/>
        <v>82.812406304779074</v>
      </c>
      <c r="AP24" s="7">
        <f t="shared" si="38"/>
        <v>36</v>
      </c>
      <c r="AQ24" s="7">
        <f t="shared" si="21"/>
        <v>38.435928078803173</v>
      </c>
      <c r="AR24" s="22">
        <f t="shared" si="22"/>
        <v>1383.6934108369142</v>
      </c>
      <c r="AS24" s="7">
        <f t="shared" si="39"/>
        <v>60</v>
      </c>
      <c r="AT24" s="7">
        <f t="shared" si="23"/>
        <v>38.435928078803173</v>
      </c>
      <c r="AU24" s="22">
        <f t="shared" si="24"/>
        <v>2306.1556847281904</v>
      </c>
      <c r="AV24" s="22">
        <f t="shared" si="25"/>
        <v>3689.8490955651046</v>
      </c>
      <c r="AX24" s="7">
        <f t="shared" si="40"/>
        <v>231</v>
      </c>
      <c r="AY24" s="7">
        <f t="shared" si="26"/>
        <v>38.435928078803173</v>
      </c>
      <c r="AZ24" s="22">
        <f t="shared" si="41"/>
        <v>8878.6993862035324</v>
      </c>
      <c r="BB24" s="7">
        <f t="shared" si="42"/>
        <v>131.31914669095625</v>
      </c>
      <c r="BD24" s="22">
        <f t="shared" si="27"/>
        <v>25123.290877794465</v>
      </c>
      <c r="BF24" s="22">
        <f t="shared" si="4"/>
        <v>40784.918403225834</v>
      </c>
      <c r="BH24" s="15">
        <f t="shared" si="28"/>
        <v>4.8408342501389479</v>
      </c>
      <c r="BJ24" s="7">
        <f>+'Almonds Margin - Alter.Ex.Rate'!BN24</f>
        <v>214.81036302088148</v>
      </c>
      <c r="BK24" s="7">
        <f>+'Almonds Margin - Alter.Ex.Rate'!BO24</f>
        <v>242.23176006996863</v>
      </c>
      <c r="BL24" s="7">
        <f>+'Almonds Margin - Alter.Ex.Rate'!BP24</f>
        <v>74.625447083007742</v>
      </c>
      <c r="BM24" s="7">
        <f>+'Almonds Margin - Alter.Ex.Rate'!BQ24</f>
        <v>107.58513225901993</v>
      </c>
    </row>
    <row r="25" spans="1:65" x14ac:dyDescent="0.2">
      <c r="A25" s="8">
        <f t="shared" si="5"/>
        <v>2039</v>
      </c>
      <c r="B25" s="22">
        <f>+'Grapes Margin - Baseline'!B25</f>
        <v>3494.9143520013477</v>
      </c>
      <c r="C25" s="22">
        <f t="shared" si="29"/>
        <v>5179.5395943352714</v>
      </c>
      <c r="E25" s="15">
        <f t="shared" si="43"/>
        <v>12.659803206355541</v>
      </c>
      <c r="F25" s="15">
        <f t="shared" si="43"/>
        <v>13.084628817307072</v>
      </c>
      <c r="H25" s="22">
        <f t="shared" si="0"/>
        <v>44244.927919404661</v>
      </c>
      <c r="I25" s="22">
        <f t="shared" si="1"/>
        <v>67772.353036422268</v>
      </c>
      <c r="K25" s="54">
        <f t="shared" si="31"/>
        <v>176</v>
      </c>
      <c r="L25" s="14">
        <f t="shared" si="6"/>
        <v>2.6734135064122846</v>
      </c>
      <c r="M25" s="7">
        <f t="shared" si="7"/>
        <v>470.52077712856209</v>
      </c>
      <c r="O25" s="15">
        <f t="shared" si="32"/>
        <v>4</v>
      </c>
      <c r="P25" s="7">
        <f t="shared" si="8"/>
        <v>53.958804716578236</v>
      </c>
      <c r="Q25" s="7">
        <f t="shared" si="9"/>
        <v>215.83521886631294</v>
      </c>
      <c r="S25" s="15">
        <f t="shared" si="33"/>
        <v>2</v>
      </c>
      <c r="T25" s="7">
        <f t="shared" si="10"/>
        <v>53.958804716578236</v>
      </c>
      <c r="U25" s="7">
        <f t="shared" si="11"/>
        <v>107.91760943315647</v>
      </c>
      <c r="W25" s="14">
        <f t="shared" si="34"/>
        <v>8</v>
      </c>
      <c r="X25" s="7">
        <f t="shared" si="12"/>
        <v>161.87641414973473</v>
      </c>
      <c r="Y25" s="22">
        <f t="shared" si="13"/>
        <v>1295.0113131978778</v>
      </c>
      <c r="AA25" s="7">
        <f t="shared" si="14"/>
        <v>91.831818696761374</v>
      </c>
      <c r="AB25" s="7">
        <f t="shared" si="2"/>
        <v>1201.5852612653623</v>
      </c>
      <c r="AD25" s="7">
        <f t="shared" si="35"/>
        <v>15.4</v>
      </c>
      <c r="AE25" s="7">
        <f t="shared" si="15"/>
        <v>393.5649372718342</v>
      </c>
      <c r="AF25" s="22">
        <f t="shared" si="16"/>
        <v>6060.9000339862469</v>
      </c>
      <c r="AG25" s="7">
        <f t="shared" si="36"/>
        <v>32</v>
      </c>
      <c r="AH25" s="7">
        <f t="shared" si="17"/>
        <v>98.391234317958549</v>
      </c>
      <c r="AI25" s="22">
        <f t="shared" si="18"/>
        <v>3148.5194981746736</v>
      </c>
      <c r="AJ25" s="22">
        <f t="shared" si="3"/>
        <v>9209.4195321609204</v>
      </c>
      <c r="AL25" s="15">
        <f t="shared" si="37"/>
        <v>0.5</v>
      </c>
      <c r="AM25" s="7">
        <f t="shared" si="19"/>
        <v>170.92480661306402</v>
      </c>
      <c r="AN25" s="7">
        <f t="shared" si="20"/>
        <v>85.462403306532011</v>
      </c>
      <c r="AP25" s="7">
        <f t="shared" si="38"/>
        <v>36</v>
      </c>
      <c r="AQ25" s="7">
        <f t="shared" si="21"/>
        <v>39.665877777324873</v>
      </c>
      <c r="AR25" s="22">
        <f t="shared" si="22"/>
        <v>1427.9715999836953</v>
      </c>
      <c r="AS25" s="7">
        <f t="shared" si="39"/>
        <v>60</v>
      </c>
      <c r="AT25" s="7">
        <f t="shared" si="23"/>
        <v>39.665877777324873</v>
      </c>
      <c r="AU25" s="22">
        <f t="shared" si="24"/>
        <v>2379.9526666394922</v>
      </c>
      <c r="AV25" s="22">
        <f t="shared" si="25"/>
        <v>3807.9242666231876</v>
      </c>
      <c r="AX25" s="7">
        <f t="shared" si="40"/>
        <v>231</v>
      </c>
      <c r="AY25" s="7">
        <f t="shared" si="26"/>
        <v>39.665877777324873</v>
      </c>
      <c r="AZ25" s="22">
        <f t="shared" si="41"/>
        <v>9162.817766562046</v>
      </c>
      <c r="BB25" s="7">
        <f t="shared" si="42"/>
        <v>130.84628817307072</v>
      </c>
      <c r="BD25" s="22">
        <f t="shared" si="27"/>
        <v>25687.340436717026</v>
      </c>
      <c r="BF25" s="22">
        <f t="shared" si="4"/>
        <v>42085.012599705238</v>
      </c>
      <c r="BH25" s="15">
        <f t="shared" si="28"/>
        <v>4.7973824698262089</v>
      </c>
      <c r="BJ25" s="7">
        <f>+'Almonds Margin - Alter.Ex.Rate'!BN25</f>
        <v>221.6842946375497</v>
      </c>
      <c r="BK25" s="7">
        <f>+'Almonds Margin - Alter.Ex.Rate'!BO25</f>
        <v>249.98317639220764</v>
      </c>
      <c r="BL25" s="7">
        <f>+'Almonds Margin - Alter.Ex.Rate'!BP25</f>
        <v>74.625447083007742</v>
      </c>
      <c r="BM25" s="7">
        <f>+'Almonds Margin - Alter.Ex.Rate'!BQ25</f>
        <v>107.58513225901993</v>
      </c>
    </row>
    <row r="26" spans="1:65" x14ac:dyDescent="0.2">
      <c r="A26" s="8">
        <f t="shared" si="5"/>
        <v>2040</v>
      </c>
      <c r="B26" s="22">
        <f>+'Grapes Margin - Baseline'!B26</f>
        <v>3494.9143520013477</v>
      </c>
      <c r="C26" s="22">
        <f t="shared" si="29"/>
        <v>5345.284861354</v>
      </c>
      <c r="E26" s="15">
        <f t="shared" si="43"/>
        <v>12.614217349824141</v>
      </c>
      <c r="F26" s="15">
        <f t="shared" si="43"/>
        <v>13.037513234046431</v>
      </c>
      <c r="H26" s="22">
        <f t="shared" si="0"/>
        <v>44085.609255164796</v>
      </c>
      <c r="I26" s="22">
        <f t="shared" si="1"/>
        <v>69689.222119650818</v>
      </c>
      <c r="K26" s="54">
        <f t="shared" si="31"/>
        <v>176</v>
      </c>
      <c r="L26" s="14">
        <f t="shared" si="6"/>
        <v>2.6734135064122846</v>
      </c>
      <c r="M26" s="7">
        <f t="shared" si="7"/>
        <v>470.52077712856209</v>
      </c>
      <c r="O26" s="15">
        <f t="shared" si="32"/>
        <v>4</v>
      </c>
      <c r="P26" s="7">
        <f t="shared" si="8"/>
        <v>53.958804716578229</v>
      </c>
      <c r="Q26" s="7">
        <f t="shared" si="9"/>
        <v>215.83521886631291</v>
      </c>
      <c r="S26" s="15">
        <f t="shared" si="33"/>
        <v>2</v>
      </c>
      <c r="T26" s="7">
        <f t="shared" si="10"/>
        <v>53.958804716578229</v>
      </c>
      <c r="U26" s="7">
        <f t="shared" si="11"/>
        <v>107.91760943315646</v>
      </c>
      <c r="W26" s="14">
        <f t="shared" si="34"/>
        <v>8</v>
      </c>
      <c r="X26" s="7">
        <f t="shared" si="12"/>
        <v>161.87641414973473</v>
      </c>
      <c r="Y26" s="22">
        <f t="shared" si="13"/>
        <v>1295.0113131978778</v>
      </c>
      <c r="AA26" s="7">
        <f t="shared" si="14"/>
        <v>93.301127795909551</v>
      </c>
      <c r="AB26" s="7">
        <f t="shared" si="2"/>
        <v>1216.414688390628</v>
      </c>
      <c r="AD26" s="7">
        <f t="shared" si="35"/>
        <v>15.4</v>
      </c>
      <c r="AE26" s="7">
        <f t="shared" si="15"/>
        <v>399.86197626818353</v>
      </c>
      <c r="AF26" s="22">
        <f t="shared" si="16"/>
        <v>6157.8744345300265</v>
      </c>
      <c r="AG26" s="7">
        <f t="shared" si="36"/>
        <v>32</v>
      </c>
      <c r="AH26" s="7">
        <f t="shared" si="17"/>
        <v>99.965494067045881</v>
      </c>
      <c r="AI26" s="22">
        <f t="shared" si="18"/>
        <v>3198.8958101454682</v>
      </c>
      <c r="AJ26" s="22">
        <f t="shared" si="3"/>
        <v>9356.7702446754956</v>
      </c>
      <c r="AL26" s="15">
        <f t="shared" si="37"/>
        <v>0.5</v>
      </c>
      <c r="AM26" s="7">
        <f t="shared" si="19"/>
        <v>176.39440042468206</v>
      </c>
      <c r="AN26" s="7">
        <f t="shared" si="20"/>
        <v>88.197200212341031</v>
      </c>
      <c r="AP26" s="7">
        <f t="shared" si="38"/>
        <v>36</v>
      </c>
      <c r="AQ26" s="7">
        <f t="shared" si="21"/>
        <v>40.935185866199269</v>
      </c>
      <c r="AR26" s="22">
        <f t="shared" si="22"/>
        <v>1473.6666911831737</v>
      </c>
      <c r="AS26" s="7">
        <f t="shared" si="39"/>
        <v>60</v>
      </c>
      <c r="AT26" s="7">
        <f t="shared" si="23"/>
        <v>40.935185866199269</v>
      </c>
      <c r="AU26" s="22">
        <f t="shared" si="24"/>
        <v>2456.1111519719561</v>
      </c>
      <c r="AV26" s="22">
        <f t="shared" si="25"/>
        <v>3929.7778431551296</v>
      </c>
      <c r="AX26" s="7">
        <f t="shared" si="40"/>
        <v>231</v>
      </c>
      <c r="AY26" s="7">
        <f t="shared" si="26"/>
        <v>40.935185866199269</v>
      </c>
      <c r="AZ26" s="22">
        <f t="shared" si="41"/>
        <v>9456.0279350920318</v>
      </c>
      <c r="BB26" s="7">
        <f t="shared" si="42"/>
        <v>130.37513234046432</v>
      </c>
      <c r="BD26" s="22">
        <f t="shared" si="27"/>
        <v>26266.847962492</v>
      </c>
      <c r="BF26" s="22">
        <f t="shared" si="4"/>
        <v>43422.374157158818</v>
      </c>
      <c r="BH26" s="15">
        <f t="shared" si="28"/>
        <v>4.7548436340676723</v>
      </c>
      <c r="BJ26" s="7">
        <f>+'Almonds Margin - Alter.Ex.Rate'!BN26</f>
        <v>228.77819206595129</v>
      </c>
      <c r="BK26" s="7">
        <f>+'Almonds Margin - Alter.Ex.Rate'!BO26</f>
        <v>257.98263803675826</v>
      </c>
      <c r="BL26" s="7">
        <f>+'Almonds Margin - Alter.Ex.Rate'!BP26</f>
        <v>74.625447083007742</v>
      </c>
      <c r="BM26" s="7">
        <f>+'Almonds Margin - Alter.Ex.Rate'!BQ26</f>
        <v>107.58513225901991</v>
      </c>
    </row>
    <row r="27" spans="1:65" x14ac:dyDescent="0.2">
      <c r="A27" s="8">
        <f t="shared" si="5"/>
        <v>2041</v>
      </c>
      <c r="B27" s="22">
        <f>+'Grapes Margin - Baseline'!B27</f>
        <v>3494.9143520013477</v>
      </c>
      <c r="C27" s="22">
        <f t="shared" si="29"/>
        <v>5516.3339769173281</v>
      </c>
      <c r="E27" s="15">
        <f t="shared" si="43"/>
        <v>12.56879564041903</v>
      </c>
      <c r="F27" s="15">
        <f t="shared" si="43"/>
        <v>12.990567306204905</v>
      </c>
      <c r="H27" s="22">
        <f t="shared" si="0"/>
        <v>43926.864271072438</v>
      </c>
      <c r="I27" s="22">
        <f t="shared" si="1"/>
        <v>71660.307810649523</v>
      </c>
      <c r="K27" s="54">
        <f t="shared" si="31"/>
        <v>176</v>
      </c>
      <c r="L27" s="14">
        <f t="shared" si="6"/>
        <v>2.6734135064122846</v>
      </c>
      <c r="M27" s="7">
        <f t="shared" si="7"/>
        <v>470.52077712856209</v>
      </c>
      <c r="O27" s="15">
        <f t="shared" si="32"/>
        <v>4</v>
      </c>
      <c r="P27" s="7">
        <f t="shared" si="8"/>
        <v>53.958804716578236</v>
      </c>
      <c r="Q27" s="7">
        <f t="shared" si="9"/>
        <v>215.83521886631294</v>
      </c>
      <c r="S27" s="15">
        <f t="shared" si="33"/>
        <v>2</v>
      </c>
      <c r="T27" s="7">
        <f t="shared" si="10"/>
        <v>53.958804716578236</v>
      </c>
      <c r="U27" s="7">
        <f t="shared" si="11"/>
        <v>107.91760943315647</v>
      </c>
      <c r="W27" s="14">
        <f t="shared" si="34"/>
        <v>8</v>
      </c>
      <c r="X27" s="7">
        <f t="shared" si="12"/>
        <v>161.87641414973473</v>
      </c>
      <c r="Y27" s="22">
        <f t="shared" si="13"/>
        <v>1295.0113131978778</v>
      </c>
      <c r="AA27" s="7">
        <f t="shared" si="14"/>
        <v>94.793945840644099</v>
      </c>
      <c r="AB27" s="7">
        <f t="shared" si="2"/>
        <v>1231.4271336636298</v>
      </c>
      <c r="AD27" s="7">
        <f t="shared" si="35"/>
        <v>15.4</v>
      </c>
      <c r="AE27" s="7">
        <f t="shared" si="15"/>
        <v>406.25976788847447</v>
      </c>
      <c r="AF27" s="22">
        <f t="shared" si="16"/>
        <v>6256.4004254825068</v>
      </c>
      <c r="AG27" s="7">
        <f t="shared" si="36"/>
        <v>32</v>
      </c>
      <c r="AH27" s="7">
        <f t="shared" si="17"/>
        <v>101.56494197211862</v>
      </c>
      <c r="AI27" s="22">
        <f t="shared" si="18"/>
        <v>3250.0781431077958</v>
      </c>
      <c r="AJ27" s="22">
        <f t="shared" si="3"/>
        <v>9506.4785685903025</v>
      </c>
      <c r="AL27" s="15">
        <f t="shared" si="37"/>
        <v>0.5</v>
      </c>
      <c r="AM27" s="7">
        <f t="shared" si="19"/>
        <v>182.03902123827189</v>
      </c>
      <c r="AN27" s="7">
        <f t="shared" si="20"/>
        <v>91.019510619135943</v>
      </c>
      <c r="AP27" s="7">
        <f t="shared" si="38"/>
        <v>36</v>
      </c>
      <c r="AQ27" s="7">
        <f t="shared" si="21"/>
        <v>42.245111813917646</v>
      </c>
      <c r="AR27" s="22">
        <f t="shared" si="22"/>
        <v>1520.8240253010354</v>
      </c>
      <c r="AS27" s="7">
        <f t="shared" si="39"/>
        <v>60</v>
      </c>
      <c r="AT27" s="7">
        <f t="shared" si="23"/>
        <v>42.245111813917646</v>
      </c>
      <c r="AU27" s="22">
        <f t="shared" si="24"/>
        <v>2534.7067088350586</v>
      </c>
      <c r="AV27" s="22">
        <f t="shared" si="25"/>
        <v>4055.530734136094</v>
      </c>
      <c r="AX27" s="7">
        <f t="shared" si="40"/>
        <v>231</v>
      </c>
      <c r="AY27" s="7">
        <f t="shared" si="26"/>
        <v>42.245111813917646</v>
      </c>
      <c r="AZ27" s="22">
        <f t="shared" si="41"/>
        <v>9758.6208290149771</v>
      </c>
      <c r="BB27" s="7">
        <f t="shared" si="42"/>
        <v>129.90567306204906</v>
      </c>
      <c r="BD27" s="22">
        <f t="shared" si="27"/>
        <v>26862.267367712098</v>
      </c>
      <c r="BF27" s="22">
        <f t="shared" si="4"/>
        <v>44798.040442937425</v>
      </c>
      <c r="BH27" s="15">
        <f t="shared" si="28"/>
        <v>4.713195801993133</v>
      </c>
      <c r="BJ27" s="7">
        <f>+'Almonds Margin - Alter.Ex.Rate'!BN27</f>
        <v>236.09909421206174</v>
      </c>
      <c r="BK27" s="7">
        <f>+'Almonds Margin - Alter.Ex.Rate'!BO27</f>
        <v>266.23808245393451</v>
      </c>
      <c r="BL27" s="7">
        <f>+'Almonds Margin - Alter.Ex.Rate'!BP27</f>
        <v>74.625447083007742</v>
      </c>
      <c r="BM27" s="7">
        <f>+'Almonds Margin - Alter.Ex.Rate'!BQ27</f>
        <v>107.58513225901993</v>
      </c>
    </row>
    <row r="28" spans="1:65" x14ac:dyDescent="0.2">
      <c r="A28" s="8">
        <f t="shared" si="5"/>
        <v>2042</v>
      </c>
      <c r="B28" s="22">
        <f>+'Grapes Margin - Baseline'!B28</f>
        <v>3494.9143520013477</v>
      </c>
      <c r="C28" s="22">
        <f t="shared" si="29"/>
        <v>5692.8566641786829</v>
      </c>
      <c r="E28" s="15">
        <f t="shared" si="43"/>
        <v>12.523537487073567</v>
      </c>
      <c r="F28" s="15">
        <f t="shared" si="43"/>
        <v>12.943790422881406</v>
      </c>
      <c r="H28" s="22">
        <f t="shared" si="0"/>
        <v>43768.690901400296</v>
      </c>
      <c r="I28" s="22">
        <f t="shared" si="1"/>
        <v>73687.143568632629</v>
      </c>
      <c r="K28" s="54">
        <f t="shared" si="31"/>
        <v>176</v>
      </c>
      <c r="L28" s="14">
        <f t="shared" si="6"/>
        <v>2.6734135064122846</v>
      </c>
      <c r="M28" s="7">
        <f t="shared" si="7"/>
        <v>470.52077712856209</v>
      </c>
      <c r="O28" s="15">
        <f t="shared" si="32"/>
        <v>4</v>
      </c>
      <c r="P28" s="7">
        <f t="shared" si="8"/>
        <v>53.958804716578236</v>
      </c>
      <c r="Q28" s="7">
        <f t="shared" si="9"/>
        <v>215.83521886631294</v>
      </c>
      <c r="S28" s="15">
        <f t="shared" si="33"/>
        <v>2</v>
      </c>
      <c r="T28" s="7">
        <f t="shared" si="10"/>
        <v>53.958804716578236</v>
      </c>
      <c r="U28" s="7">
        <f t="shared" si="11"/>
        <v>107.91760943315647</v>
      </c>
      <c r="W28" s="14">
        <f t="shared" si="34"/>
        <v>8</v>
      </c>
      <c r="X28" s="7">
        <f t="shared" si="12"/>
        <v>161.87641414973473</v>
      </c>
      <c r="Y28" s="22">
        <f t="shared" si="13"/>
        <v>1295.0113131978778</v>
      </c>
      <c r="AA28" s="7">
        <f t="shared" si="14"/>
        <v>96.310648974094406</v>
      </c>
      <c r="AB28" s="7">
        <f t="shared" si="2"/>
        <v>1246.6248558123762</v>
      </c>
      <c r="AD28" s="7">
        <f t="shared" si="35"/>
        <v>15.4</v>
      </c>
      <c r="AE28" s="7">
        <f t="shared" si="15"/>
        <v>412.75992417469007</v>
      </c>
      <c r="AF28" s="22">
        <f t="shared" si="16"/>
        <v>6356.5028322902272</v>
      </c>
      <c r="AG28" s="7">
        <f t="shared" si="36"/>
        <v>32</v>
      </c>
      <c r="AH28" s="7">
        <f t="shared" si="17"/>
        <v>103.18998104367252</v>
      </c>
      <c r="AI28" s="22">
        <f t="shared" si="18"/>
        <v>3302.0793933975206</v>
      </c>
      <c r="AJ28" s="22">
        <f t="shared" si="3"/>
        <v>9658.5822256877473</v>
      </c>
      <c r="AL28" s="15">
        <f t="shared" si="37"/>
        <v>0.5</v>
      </c>
      <c r="AM28" s="7">
        <f t="shared" si="19"/>
        <v>187.86426991789659</v>
      </c>
      <c r="AN28" s="7">
        <f t="shared" si="20"/>
        <v>93.932134958948296</v>
      </c>
      <c r="AP28" s="7">
        <f t="shared" si="38"/>
        <v>36</v>
      </c>
      <c r="AQ28" s="7">
        <f t="shared" si="21"/>
        <v>43.596955391963007</v>
      </c>
      <c r="AR28" s="22">
        <f t="shared" si="22"/>
        <v>1569.4903941106681</v>
      </c>
      <c r="AS28" s="7">
        <f t="shared" si="39"/>
        <v>60</v>
      </c>
      <c r="AT28" s="7">
        <f t="shared" si="23"/>
        <v>43.596955391963007</v>
      </c>
      <c r="AU28" s="22">
        <f t="shared" si="24"/>
        <v>2615.8173235177806</v>
      </c>
      <c r="AV28" s="22">
        <f t="shared" si="25"/>
        <v>4185.3077176284487</v>
      </c>
      <c r="AX28" s="7">
        <f t="shared" si="40"/>
        <v>231</v>
      </c>
      <c r="AY28" s="7">
        <f t="shared" si="26"/>
        <v>43.596955391963007</v>
      </c>
      <c r="AZ28" s="22">
        <f t="shared" si="41"/>
        <v>10070.896695543455</v>
      </c>
      <c r="BB28" s="7">
        <f t="shared" si="42"/>
        <v>129.43790422881406</v>
      </c>
      <c r="BD28" s="22">
        <f t="shared" si="27"/>
        <v>27474.066452485698</v>
      </c>
      <c r="BF28" s="22">
        <f t="shared" si="4"/>
        <v>46213.077116146931</v>
      </c>
      <c r="BH28" s="15">
        <f t="shared" si="28"/>
        <v>4.6724176331915119</v>
      </c>
      <c r="BJ28" s="7">
        <f>+'Almonds Margin - Alter.Ex.Rate'!BN28</f>
        <v>243.65426522684771</v>
      </c>
      <c r="BK28" s="7">
        <f>+'Almonds Margin - Alter.Ex.Rate'!BO28</f>
        <v>274.75770109246042</v>
      </c>
      <c r="BL28" s="7">
        <f>+'Almonds Margin - Alter.Ex.Rate'!BP28</f>
        <v>74.625447083007742</v>
      </c>
      <c r="BM28" s="7">
        <f>+'Almonds Margin - Alter.Ex.Rate'!BQ28</f>
        <v>107.58513225901993</v>
      </c>
    </row>
    <row r="29" spans="1:65" x14ac:dyDescent="0.2">
      <c r="A29" s="8">
        <f t="shared" si="5"/>
        <v>2043</v>
      </c>
      <c r="B29" s="22">
        <f>+'Grapes Margin - Baseline'!B29</f>
        <v>3494.9143520013477</v>
      </c>
      <c r="C29" s="22">
        <f t="shared" si="29"/>
        <v>5875.028077432401</v>
      </c>
      <c r="E29" s="15">
        <f t="shared" si="43"/>
        <v>12.478442300849444</v>
      </c>
      <c r="F29" s="15">
        <f t="shared" si="43"/>
        <v>12.897181975374595</v>
      </c>
      <c r="H29" s="22">
        <f t="shared" si="0"/>
        <v>43611.087087859443</v>
      </c>
      <c r="I29" s="22">
        <f t="shared" si="1"/>
        <v>75771.306225080829</v>
      </c>
      <c r="K29" s="54">
        <f t="shared" si="31"/>
        <v>176</v>
      </c>
      <c r="L29" s="14">
        <f t="shared" si="6"/>
        <v>2.6734135064122846</v>
      </c>
      <c r="M29" s="7">
        <f t="shared" si="7"/>
        <v>470.52077712856209</v>
      </c>
      <c r="O29" s="15">
        <f t="shared" si="32"/>
        <v>4</v>
      </c>
      <c r="P29" s="7">
        <f t="shared" si="8"/>
        <v>53.958804716578236</v>
      </c>
      <c r="Q29" s="7">
        <f t="shared" si="9"/>
        <v>215.83521886631294</v>
      </c>
      <c r="S29" s="15">
        <f t="shared" si="33"/>
        <v>2</v>
      </c>
      <c r="T29" s="7">
        <f t="shared" si="10"/>
        <v>53.958804716578236</v>
      </c>
      <c r="U29" s="7">
        <f t="shared" si="11"/>
        <v>107.91760943315647</v>
      </c>
      <c r="W29" s="14">
        <f t="shared" si="34"/>
        <v>8</v>
      </c>
      <c r="X29" s="7">
        <f t="shared" si="12"/>
        <v>161.87641414973473</v>
      </c>
      <c r="Y29" s="22">
        <f t="shared" si="13"/>
        <v>1295.0113131978778</v>
      </c>
      <c r="AA29" s="7">
        <f t="shared" si="14"/>
        <v>97.851619357679922</v>
      </c>
      <c r="AB29" s="7">
        <f t="shared" si="2"/>
        <v>1262.0101414410854</v>
      </c>
      <c r="AD29" s="7">
        <f t="shared" si="35"/>
        <v>15.4</v>
      </c>
      <c r="AE29" s="7">
        <f t="shared" si="15"/>
        <v>419.36408296148511</v>
      </c>
      <c r="AF29" s="22">
        <f t="shared" si="16"/>
        <v>6458.2068776068709</v>
      </c>
      <c r="AG29" s="7">
        <f t="shared" si="36"/>
        <v>32</v>
      </c>
      <c r="AH29" s="7">
        <f t="shared" si="17"/>
        <v>104.84102074037128</v>
      </c>
      <c r="AI29" s="22">
        <f t="shared" si="18"/>
        <v>3354.9126636918809</v>
      </c>
      <c r="AJ29" s="22">
        <f t="shared" si="3"/>
        <v>9813.1195412987508</v>
      </c>
      <c r="AL29" s="15">
        <f t="shared" si="37"/>
        <v>0.5</v>
      </c>
      <c r="AM29" s="7">
        <f t="shared" si="19"/>
        <v>193.8759265552693</v>
      </c>
      <c r="AN29" s="7">
        <f t="shared" si="20"/>
        <v>96.937963277634651</v>
      </c>
      <c r="AP29" s="7">
        <f t="shared" si="38"/>
        <v>36</v>
      </c>
      <c r="AQ29" s="7">
        <f t="shared" si="21"/>
        <v>44.992057964505818</v>
      </c>
      <c r="AR29" s="22">
        <f t="shared" si="22"/>
        <v>1619.7140867222095</v>
      </c>
      <c r="AS29" s="7">
        <f t="shared" si="39"/>
        <v>60</v>
      </c>
      <c r="AT29" s="7">
        <f t="shared" si="23"/>
        <v>44.992057964505818</v>
      </c>
      <c r="AU29" s="22">
        <f t="shared" si="24"/>
        <v>2699.5234778703489</v>
      </c>
      <c r="AV29" s="22">
        <f t="shared" si="25"/>
        <v>4319.2375645925586</v>
      </c>
      <c r="AX29" s="7">
        <f t="shared" si="40"/>
        <v>231</v>
      </c>
      <c r="AY29" s="7">
        <f t="shared" si="26"/>
        <v>44.992057964505818</v>
      </c>
      <c r="AZ29" s="22">
        <f t="shared" si="41"/>
        <v>10393.165389800844</v>
      </c>
      <c r="BB29" s="7">
        <f t="shared" si="42"/>
        <v>128.97181975374596</v>
      </c>
      <c r="BD29" s="22">
        <f t="shared" si="27"/>
        <v>28102.72733879053</v>
      </c>
      <c r="BF29" s="22">
        <f t="shared" si="4"/>
        <v>47668.578886290299</v>
      </c>
      <c r="BH29" s="15">
        <f t="shared" si="28"/>
        <v>4.6324883693404217</v>
      </c>
      <c r="BJ29" s="7">
        <f>+'Almonds Margin - Alter.Ex.Rate'!BN29</f>
        <v>251.45120171410684</v>
      </c>
      <c r="BK29" s="7">
        <f>+'Almonds Margin - Alter.Ex.Rate'!BO29</f>
        <v>283.54994752741914</v>
      </c>
      <c r="BL29" s="7">
        <f>+'Almonds Margin - Alter.Ex.Rate'!BP29</f>
        <v>74.625447083007742</v>
      </c>
      <c r="BM29" s="7">
        <f>+'Almonds Margin - Alter.Ex.Rate'!BQ29</f>
        <v>107.58513225901993</v>
      </c>
    </row>
    <row r="30" spans="1:65" x14ac:dyDescent="0.2">
      <c r="A30" s="8">
        <f t="shared" si="5"/>
        <v>2044</v>
      </c>
      <c r="B30" s="22">
        <f>+'Grapes Margin - Baseline'!B30</f>
        <v>3494.9143520013477</v>
      </c>
      <c r="C30" s="22">
        <f t="shared" si="29"/>
        <v>6063.0289759102379</v>
      </c>
      <c r="E30" s="15">
        <f t="shared" si="43"/>
        <v>12.433509494929025</v>
      </c>
      <c r="F30" s="15">
        <f t="shared" si="43"/>
        <v>12.850741357174966</v>
      </c>
      <c r="H30" s="22">
        <f t="shared" si="0"/>
        <v>43454.050779572477</v>
      </c>
      <c r="I30" s="22">
        <f t="shared" si="1"/>
        <v>77914.417210479878</v>
      </c>
      <c r="K30" s="54">
        <f t="shared" si="31"/>
        <v>176</v>
      </c>
      <c r="L30" s="14">
        <f t="shared" si="6"/>
        <v>2.6734135064122846</v>
      </c>
      <c r="M30" s="7">
        <f t="shared" si="7"/>
        <v>470.52077712856209</v>
      </c>
      <c r="O30" s="15">
        <f t="shared" si="32"/>
        <v>4</v>
      </c>
      <c r="P30" s="7">
        <f t="shared" si="8"/>
        <v>53.958804716578236</v>
      </c>
      <c r="Q30" s="7">
        <f t="shared" si="9"/>
        <v>215.83521886631294</v>
      </c>
      <c r="S30" s="15">
        <f t="shared" si="33"/>
        <v>2</v>
      </c>
      <c r="T30" s="7">
        <f t="shared" si="10"/>
        <v>53.958804716578236</v>
      </c>
      <c r="U30" s="7">
        <f t="shared" si="11"/>
        <v>107.91760943315647</v>
      </c>
      <c r="W30" s="14">
        <f t="shared" si="34"/>
        <v>8</v>
      </c>
      <c r="X30" s="7">
        <f t="shared" si="12"/>
        <v>161.87641414973473</v>
      </c>
      <c r="Y30" s="22">
        <f t="shared" si="13"/>
        <v>1295.0113131978778</v>
      </c>
      <c r="AA30" s="7">
        <f t="shared" si="14"/>
        <v>99.417245267402805</v>
      </c>
      <c r="AB30" s="7">
        <f t="shared" si="2"/>
        <v>1277.5853053742205</v>
      </c>
      <c r="AD30" s="7">
        <f t="shared" si="35"/>
        <v>15.4</v>
      </c>
      <c r="AE30" s="7">
        <f t="shared" si="15"/>
        <v>426.07390828886889</v>
      </c>
      <c r="AF30" s="22">
        <f t="shared" si="16"/>
        <v>6561.5381876485808</v>
      </c>
      <c r="AG30" s="7">
        <f t="shared" si="36"/>
        <v>32</v>
      </c>
      <c r="AH30" s="7">
        <f t="shared" si="17"/>
        <v>106.51847707221722</v>
      </c>
      <c r="AI30" s="22">
        <f t="shared" si="18"/>
        <v>3408.5912663109511</v>
      </c>
      <c r="AJ30" s="22">
        <f t="shared" si="3"/>
        <v>9970.1294539595328</v>
      </c>
      <c r="AL30" s="15">
        <f t="shared" si="37"/>
        <v>0.5</v>
      </c>
      <c r="AM30" s="7">
        <f t="shared" si="19"/>
        <v>200.07995620503792</v>
      </c>
      <c r="AN30" s="7">
        <f t="shared" si="20"/>
        <v>100.03997810251896</v>
      </c>
      <c r="AP30" s="7">
        <f t="shared" si="38"/>
        <v>36</v>
      </c>
      <c r="AQ30" s="7">
        <f t="shared" si="21"/>
        <v>46.431803819370003</v>
      </c>
      <c r="AR30" s="22">
        <f t="shared" si="22"/>
        <v>1671.54493749732</v>
      </c>
      <c r="AS30" s="7">
        <f t="shared" si="39"/>
        <v>60</v>
      </c>
      <c r="AT30" s="7">
        <f t="shared" si="23"/>
        <v>46.431803819370003</v>
      </c>
      <c r="AU30" s="22">
        <f t="shared" si="24"/>
        <v>2785.9082291622003</v>
      </c>
      <c r="AV30" s="22">
        <f t="shared" si="25"/>
        <v>4457.4531666595203</v>
      </c>
      <c r="AX30" s="7">
        <f t="shared" si="40"/>
        <v>231</v>
      </c>
      <c r="AY30" s="7">
        <f t="shared" si="26"/>
        <v>46.431803819370003</v>
      </c>
      <c r="AZ30" s="22">
        <f t="shared" si="41"/>
        <v>10725.74668227447</v>
      </c>
      <c r="BB30" s="7">
        <f t="shared" si="42"/>
        <v>128.50741357174965</v>
      </c>
      <c r="BD30" s="22">
        <f t="shared" si="27"/>
        <v>28748.746918567922</v>
      </c>
      <c r="BF30" s="22">
        <f t="shared" si="4"/>
        <v>49165.670291911956</v>
      </c>
      <c r="BH30" s="15">
        <f t="shared" si="28"/>
        <v>4.5933878164550075</v>
      </c>
      <c r="BJ30" s="7">
        <f>+'Almonds Margin - Alter.Ex.Rate'!BN30</f>
        <v>259.49764016895824</v>
      </c>
      <c r="BK30" s="7">
        <f>+'Almonds Margin - Alter.Ex.Rate'!BO30</f>
        <v>292.62354584829654</v>
      </c>
      <c r="BL30" s="7">
        <f>+'Almonds Margin - Alter.Ex.Rate'!BP30</f>
        <v>74.625447083007742</v>
      </c>
      <c r="BM30" s="7">
        <f>+'Almonds Margin - Alter.Ex.Rate'!BQ30</f>
        <v>107.58513225901993</v>
      </c>
    </row>
    <row r="31" spans="1:65" x14ac:dyDescent="0.2">
      <c r="A31" s="8">
        <f t="shared" si="5"/>
        <v>2045</v>
      </c>
      <c r="B31" s="22">
        <f>+'Grapes Margin - Baseline'!B31</f>
        <v>3494.9143520013477</v>
      </c>
      <c r="C31" s="22">
        <f t="shared" si="29"/>
        <v>6257.0459031393648</v>
      </c>
      <c r="E31" s="15">
        <f t="shared" si="43"/>
        <v>12.388738484607703</v>
      </c>
      <c r="F31" s="15">
        <f t="shared" si="43"/>
        <v>12.804467963956956</v>
      </c>
      <c r="H31" s="22">
        <f t="shared" si="0"/>
        <v>43297.579933046887</v>
      </c>
      <c r="I31" s="22">
        <f t="shared" si="1"/>
        <v>80118.143815756121</v>
      </c>
      <c r="K31" s="54">
        <f t="shared" si="31"/>
        <v>176</v>
      </c>
      <c r="L31" s="14">
        <f t="shared" si="6"/>
        <v>2.6734135064122846</v>
      </c>
      <c r="M31" s="7">
        <f t="shared" si="7"/>
        <v>470.52077712856209</v>
      </c>
      <c r="O31" s="15">
        <f t="shared" si="32"/>
        <v>4</v>
      </c>
      <c r="P31" s="7">
        <f t="shared" si="8"/>
        <v>53.958804716578236</v>
      </c>
      <c r="Q31" s="7">
        <f t="shared" si="9"/>
        <v>215.83521886631294</v>
      </c>
      <c r="S31" s="15">
        <f t="shared" si="33"/>
        <v>2</v>
      </c>
      <c r="T31" s="7">
        <f t="shared" si="10"/>
        <v>53.958804716578236</v>
      </c>
      <c r="U31" s="7">
        <f t="shared" si="11"/>
        <v>107.91760943315647</v>
      </c>
      <c r="W31" s="14">
        <f t="shared" si="34"/>
        <v>8</v>
      </c>
      <c r="X31" s="7">
        <f t="shared" si="12"/>
        <v>161.87641414973473</v>
      </c>
      <c r="Y31" s="22">
        <f t="shared" si="13"/>
        <v>1295.0113131978778</v>
      </c>
      <c r="AA31" s="7">
        <f t="shared" si="14"/>
        <v>101.00792119168125</v>
      </c>
      <c r="AB31" s="7">
        <f t="shared" si="2"/>
        <v>1293.3526910047715</v>
      </c>
      <c r="AD31" s="7">
        <f t="shared" si="35"/>
        <v>15.4</v>
      </c>
      <c r="AE31" s="7">
        <f t="shared" si="15"/>
        <v>432.89109082149082</v>
      </c>
      <c r="AF31" s="22">
        <f t="shared" si="16"/>
        <v>6666.522798650959</v>
      </c>
      <c r="AG31" s="7">
        <f t="shared" si="36"/>
        <v>32</v>
      </c>
      <c r="AH31" s="7">
        <f t="shared" si="17"/>
        <v>108.22277270537271</v>
      </c>
      <c r="AI31" s="22">
        <f t="shared" si="18"/>
        <v>3463.1287265719266</v>
      </c>
      <c r="AJ31" s="22">
        <f t="shared" si="3"/>
        <v>10129.651525222886</v>
      </c>
      <c r="AL31" s="15">
        <f t="shared" si="37"/>
        <v>0.5</v>
      </c>
      <c r="AM31" s="7">
        <f t="shared" si="19"/>
        <v>206.48251480359912</v>
      </c>
      <c r="AN31" s="7">
        <f t="shared" si="20"/>
        <v>103.24125740179956</v>
      </c>
      <c r="AP31" s="7">
        <f t="shared" si="38"/>
        <v>36</v>
      </c>
      <c r="AQ31" s="7">
        <f t="shared" si="21"/>
        <v>47.917621541589845</v>
      </c>
      <c r="AR31" s="22">
        <f t="shared" si="22"/>
        <v>1725.0343754972344</v>
      </c>
      <c r="AS31" s="7">
        <f t="shared" si="39"/>
        <v>60</v>
      </c>
      <c r="AT31" s="7">
        <f t="shared" si="23"/>
        <v>47.917621541589845</v>
      </c>
      <c r="AU31" s="22">
        <f t="shared" si="24"/>
        <v>2875.0572924953908</v>
      </c>
      <c r="AV31" s="22">
        <f t="shared" si="25"/>
        <v>4600.0916679926249</v>
      </c>
      <c r="AX31" s="7">
        <f t="shared" si="40"/>
        <v>231</v>
      </c>
      <c r="AY31" s="7">
        <f t="shared" si="26"/>
        <v>47.917621541589845</v>
      </c>
      <c r="AZ31" s="22">
        <f t="shared" si="41"/>
        <v>11068.970576107255</v>
      </c>
      <c r="BB31" s="7">
        <f t="shared" si="42"/>
        <v>128.04467963956955</v>
      </c>
      <c r="BD31" s="22">
        <f t="shared" si="27"/>
        <v>29412.637315994816</v>
      </c>
      <c r="BF31" s="22">
        <f t="shared" si="4"/>
        <v>50705.506499761308</v>
      </c>
      <c r="BH31" s="15">
        <f t="shared" si="28"/>
        <v>4.5550963277331258</v>
      </c>
      <c r="BJ31" s="7">
        <f>+'Almonds Margin - Alter.Ex.Rate'!BN31</f>
        <v>267.80156465436488</v>
      </c>
      <c r="BK31" s="7">
        <f>+'Almonds Margin - Alter.Ex.Rate'!BO31</f>
        <v>301.98749931544205</v>
      </c>
      <c r="BL31" s="7">
        <f>+'Almonds Margin - Alter.Ex.Rate'!BP31</f>
        <v>74.625447083007742</v>
      </c>
      <c r="BM31" s="7">
        <f>+'Almonds Margin - Alter.Ex.Rate'!BQ31</f>
        <v>107.58513225901993</v>
      </c>
    </row>
    <row r="32" spans="1:65" x14ac:dyDescent="0.2">
      <c r="A32" s="8">
        <f t="shared" si="5"/>
        <v>2046</v>
      </c>
      <c r="B32" s="22">
        <f>+'Grapes Margin - Baseline'!B32</f>
        <v>3494.9143520013477</v>
      </c>
      <c r="C32" s="22">
        <f t="shared" si="29"/>
        <v>6457.2713720398242</v>
      </c>
      <c r="E32" s="15">
        <f t="shared" si="43"/>
        <v>12.3441286872863</v>
      </c>
      <c r="F32" s="15">
        <f t="shared" si="43"/>
        <v>12.758361193571076</v>
      </c>
      <c r="H32" s="22">
        <f t="shared" si="0"/>
        <v>43141.672512148449</v>
      </c>
      <c r="I32" s="22">
        <f t="shared" si="1"/>
        <v>82384.20048939035</v>
      </c>
      <c r="K32" s="54">
        <f t="shared" si="31"/>
        <v>176</v>
      </c>
      <c r="L32" s="14">
        <f t="shared" si="6"/>
        <v>2.6734135064122846</v>
      </c>
      <c r="M32" s="7">
        <f t="shared" si="7"/>
        <v>470.52077712856209</v>
      </c>
      <c r="O32" s="15">
        <f t="shared" si="32"/>
        <v>4</v>
      </c>
      <c r="P32" s="7">
        <f t="shared" si="8"/>
        <v>53.958804716578236</v>
      </c>
      <c r="Q32" s="7">
        <f t="shared" si="9"/>
        <v>215.83521886631294</v>
      </c>
      <c r="S32" s="15">
        <f t="shared" si="33"/>
        <v>2</v>
      </c>
      <c r="T32" s="7">
        <f t="shared" si="10"/>
        <v>53.958804716578236</v>
      </c>
      <c r="U32" s="7">
        <f t="shared" si="11"/>
        <v>107.91760943315647</v>
      </c>
      <c r="W32" s="14">
        <f t="shared" si="34"/>
        <v>8</v>
      </c>
      <c r="X32" s="7">
        <f t="shared" si="12"/>
        <v>161.87641414973473</v>
      </c>
      <c r="Y32" s="22">
        <f t="shared" si="13"/>
        <v>1295.0113131978778</v>
      </c>
      <c r="AA32" s="7">
        <f t="shared" si="14"/>
        <v>102.62404793074815</v>
      </c>
      <c r="AB32" s="7">
        <f t="shared" si="2"/>
        <v>1309.3146706468353</v>
      </c>
      <c r="AD32" s="7">
        <f t="shared" si="35"/>
        <v>15.4</v>
      </c>
      <c r="AE32" s="7">
        <f t="shared" si="15"/>
        <v>439.8173482746347</v>
      </c>
      <c r="AF32" s="22">
        <f t="shared" si="16"/>
        <v>6773.1871634293748</v>
      </c>
      <c r="AG32" s="7">
        <f t="shared" si="36"/>
        <v>32</v>
      </c>
      <c r="AH32" s="7">
        <f t="shared" si="17"/>
        <v>109.95433706865867</v>
      </c>
      <c r="AI32" s="22">
        <f t="shared" si="18"/>
        <v>3518.5387861970776</v>
      </c>
      <c r="AJ32" s="22">
        <f t="shared" si="3"/>
        <v>10291.725949626452</v>
      </c>
      <c r="AL32" s="15">
        <f t="shared" si="37"/>
        <v>0.5</v>
      </c>
      <c r="AM32" s="7">
        <f t="shared" si="19"/>
        <v>213.08995527731429</v>
      </c>
      <c r="AN32" s="7">
        <f t="shared" si="20"/>
        <v>106.54497763865714</v>
      </c>
      <c r="AP32" s="7">
        <f t="shared" si="38"/>
        <v>36</v>
      </c>
      <c r="AQ32" s="7">
        <f t="shared" si="21"/>
        <v>49.450985430920724</v>
      </c>
      <c r="AR32" s="22">
        <f t="shared" si="22"/>
        <v>1780.235475513146</v>
      </c>
      <c r="AS32" s="7">
        <f t="shared" si="39"/>
        <v>60</v>
      </c>
      <c r="AT32" s="7">
        <f t="shared" si="23"/>
        <v>49.450985430920724</v>
      </c>
      <c r="AU32" s="22">
        <f t="shared" si="24"/>
        <v>2967.0591258552436</v>
      </c>
      <c r="AV32" s="22">
        <f t="shared" si="25"/>
        <v>4747.2946013683895</v>
      </c>
      <c r="AX32" s="7">
        <f t="shared" si="40"/>
        <v>231</v>
      </c>
      <c r="AY32" s="7">
        <f t="shared" si="26"/>
        <v>49.450985430920724</v>
      </c>
      <c r="AZ32" s="22">
        <f t="shared" si="41"/>
        <v>11423.177634542688</v>
      </c>
      <c r="BB32" s="7">
        <f t="shared" si="42"/>
        <v>127.58361193571076</v>
      </c>
      <c r="BD32" s="22">
        <f t="shared" si="27"/>
        <v>30094.926364384643</v>
      </c>
      <c r="BF32" s="22">
        <f t="shared" si="4"/>
        <v>52289.274125005708</v>
      </c>
      <c r="BH32" s="15">
        <f t="shared" si="28"/>
        <v>4.5175947869748461</v>
      </c>
      <c r="BJ32" s="7">
        <f>+'Almonds Margin - Alter.Ex.Rate'!BN32</f>
        <v>276.37121472330455</v>
      </c>
      <c r="BK32" s="7">
        <f>+'Almonds Margin - Alter.Ex.Rate'!BO32</f>
        <v>311.65109929353622</v>
      </c>
      <c r="BL32" s="7">
        <f>+'Almonds Margin - Alter.Ex.Rate'!BP32</f>
        <v>74.625447083007742</v>
      </c>
      <c r="BM32" s="7">
        <f>+'Almonds Margin - Alter.Ex.Rate'!BQ32</f>
        <v>107.58513225901993</v>
      </c>
    </row>
    <row r="33" spans="1:65" x14ac:dyDescent="0.2">
      <c r="A33" s="8">
        <f t="shared" si="5"/>
        <v>2047</v>
      </c>
      <c r="B33" s="22">
        <f>+'Grapes Margin - Baseline'!B33</f>
        <v>3494.9143520013477</v>
      </c>
      <c r="C33" s="22">
        <f t="shared" si="29"/>
        <v>6663.9040559450996</v>
      </c>
      <c r="E33" s="15">
        <f t="shared" si="43"/>
        <v>12.29967952246348</v>
      </c>
      <c r="F33" s="15">
        <f t="shared" si="43"/>
        <v>12.712420446036081</v>
      </c>
      <c r="H33" s="22">
        <f t="shared" si="0"/>
        <v>42986.326488074701</v>
      </c>
      <c r="I33" s="22">
        <f t="shared" si="1"/>
        <v>84714.350171219252</v>
      </c>
      <c r="K33" s="54">
        <f t="shared" si="31"/>
        <v>176</v>
      </c>
      <c r="L33" s="14">
        <f t="shared" si="6"/>
        <v>2.6734135064122855</v>
      </c>
      <c r="M33" s="7">
        <f t="shared" si="7"/>
        <v>470.52077712856226</v>
      </c>
      <c r="O33" s="15">
        <f t="shared" si="32"/>
        <v>4</v>
      </c>
      <c r="P33" s="7">
        <f t="shared" si="8"/>
        <v>53.95880471657825</v>
      </c>
      <c r="Q33" s="7">
        <f t="shared" si="9"/>
        <v>215.835218866313</v>
      </c>
      <c r="S33" s="15">
        <f t="shared" si="33"/>
        <v>2</v>
      </c>
      <c r="T33" s="7">
        <f t="shared" si="10"/>
        <v>53.95880471657825</v>
      </c>
      <c r="U33" s="7">
        <f t="shared" si="11"/>
        <v>107.9176094331565</v>
      </c>
      <c r="W33" s="14">
        <f t="shared" si="34"/>
        <v>8</v>
      </c>
      <c r="X33" s="7">
        <f t="shared" si="12"/>
        <v>161.87641414973479</v>
      </c>
      <c r="Y33" s="22">
        <f t="shared" si="13"/>
        <v>1295.0113131978783</v>
      </c>
      <c r="AA33" s="7">
        <f t="shared" si="14"/>
        <v>104.26603269764011</v>
      </c>
      <c r="AB33" s="7">
        <f t="shared" si="2"/>
        <v>1325.4736458925468</v>
      </c>
      <c r="AD33" s="7">
        <f t="shared" si="35"/>
        <v>15.4</v>
      </c>
      <c r="AE33" s="7">
        <f t="shared" si="15"/>
        <v>446.85442584702884</v>
      </c>
      <c r="AF33" s="22">
        <f t="shared" si="16"/>
        <v>6881.558158044244</v>
      </c>
      <c r="AG33" s="7">
        <f t="shared" si="36"/>
        <v>32</v>
      </c>
      <c r="AH33" s="7">
        <f t="shared" si="17"/>
        <v>111.71360646175721</v>
      </c>
      <c r="AI33" s="22">
        <f t="shared" si="18"/>
        <v>3574.8354067762307</v>
      </c>
      <c r="AJ33" s="22">
        <f t="shared" si="3"/>
        <v>10456.393564820475</v>
      </c>
      <c r="AL33" s="15">
        <f t="shared" si="37"/>
        <v>0.5</v>
      </c>
      <c r="AM33" s="7">
        <f t="shared" si="19"/>
        <v>219.90883384618837</v>
      </c>
      <c r="AN33" s="7">
        <f t="shared" si="20"/>
        <v>109.95441692309419</v>
      </c>
      <c r="AP33" s="7">
        <f t="shared" si="38"/>
        <v>36</v>
      </c>
      <c r="AQ33" s="7">
        <f t="shared" si="21"/>
        <v>51.033416964710192</v>
      </c>
      <c r="AR33" s="22">
        <f t="shared" si="22"/>
        <v>1837.2030107295668</v>
      </c>
      <c r="AS33" s="7">
        <f t="shared" si="39"/>
        <v>60</v>
      </c>
      <c r="AT33" s="7">
        <f t="shared" si="23"/>
        <v>51.033416964710192</v>
      </c>
      <c r="AU33" s="22">
        <f t="shared" si="24"/>
        <v>3062.0050178826114</v>
      </c>
      <c r="AV33" s="22">
        <f t="shared" si="25"/>
        <v>4899.2080286121782</v>
      </c>
      <c r="AX33" s="7">
        <f t="shared" si="40"/>
        <v>231</v>
      </c>
      <c r="AY33" s="7">
        <f t="shared" si="26"/>
        <v>51.033416964710192</v>
      </c>
      <c r="AZ33" s="22">
        <f t="shared" si="41"/>
        <v>11788.719318848054</v>
      </c>
      <c r="BB33" s="7">
        <f t="shared" si="42"/>
        <v>127.1242044603608</v>
      </c>
      <c r="BD33" s="22">
        <f t="shared" si="27"/>
        <v>30796.158098182616</v>
      </c>
      <c r="BF33" s="22">
        <f t="shared" si="4"/>
        <v>53918.19207303664</v>
      </c>
      <c r="BH33" s="15">
        <f t="shared" si="28"/>
        <v>4.4808645925551218</v>
      </c>
      <c r="BJ33" s="7">
        <f>+'Almonds Margin - Alter.Ex.Rate'!BN33</f>
        <v>285.21509359445031</v>
      </c>
      <c r="BK33" s="7">
        <f>+'Almonds Margin - Alter.Ex.Rate'!BO33</f>
        <v>321.62393447092938</v>
      </c>
      <c r="BL33" s="7">
        <f>+'Almonds Margin - Alter.Ex.Rate'!BP33</f>
        <v>74.625447083007742</v>
      </c>
      <c r="BM33" s="7">
        <f>+'Almonds Margin - Alter.Ex.Rate'!BQ33</f>
        <v>107.58513225901996</v>
      </c>
    </row>
    <row r="34" spans="1:65" x14ac:dyDescent="0.2">
      <c r="A34" s="8">
        <f t="shared" si="5"/>
        <v>2048</v>
      </c>
      <c r="B34" s="22">
        <f>+'Grapes Margin - Baseline'!B34</f>
        <v>3494.9143520013477</v>
      </c>
      <c r="C34" s="22">
        <f t="shared" si="29"/>
        <v>6877.1489857353426</v>
      </c>
      <c r="E34" s="15">
        <f t="shared" si="43"/>
        <v>12.255390411728193</v>
      </c>
      <c r="F34" s="15">
        <f t="shared" si="43"/>
        <v>12.666645123531152</v>
      </c>
      <c r="H34" s="22">
        <f t="shared" si="0"/>
        <v>42831.539839328565</v>
      </c>
      <c r="I34" s="22">
        <f t="shared" si="1"/>
        <v>87110.405663961792</v>
      </c>
      <c r="K34" s="54">
        <f t="shared" si="31"/>
        <v>176</v>
      </c>
      <c r="L34" s="14">
        <f t="shared" si="6"/>
        <v>2.6734135064122846</v>
      </c>
      <c r="M34" s="7">
        <f t="shared" si="7"/>
        <v>470.52077712856209</v>
      </c>
      <c r="O34" s="15">
        <f t="shared" si="32"/>
        <v>4</v>
      </c>
      <c r="P34" s="7">
        <f t="shared" si="8"/>
        <v>53.958804716578236</v>
      </c>
      <c r="Q34" s="7">
        <f t="shared" si="9"/>
        <v>215.83521886631294</v>
      </c>
      <c r="S34" s="15">
        <f t="shared" si="33"/>
        <v>2</v>
      </c>
      <c r="T34" s="7">
        <f t="shared" si="10"/>
        <v>53.958804716578236</v>
      </c>
      <c r="U34" s="7">
        <f t="shared" si="11"/>
        <v>107.91760943315647</v>
      </c>
      <c r="W34" s="14">
        <f t="shared" si="34"/>
        <v>8</v>
      </c>
      <c r="X34" s="7">
        <f t="shared" si="12"/>
        <v>161.87641414973473</v>
      </c>
      <c r="Y34" s="22">
        <f t="shared" si="13"/>
        <v>1295.0113131978778</v>
      </c>
      <c r="AA34" s="7">
        <f t="shared" si="14"/>
        <v>105.93428922080236</v>
      </c>
      <c r="AB34" s="7">
        <f t="shared" si="2"/>
        <v>1341.8320479734148</v>
      </c>
      <c r="AD34" s="7">
        <f t="shared" si="35"/>
        <v>15.4</v>
      </c>
      <c r="AE34" s="7">
        <f t="shared" si="15"/>
        <v>454.0040966605813</v>
      </c>
      <c r="AF34" s="22">
        <f t="shared" si="16"/>
        <v>6991.6630885729519</v>
      </c>
      <c r="AG34" s="7">
        <f t="shared" si="36"/>
        <v>32</v>
      </c>
      <c r="AH34" s="7">
        <f t="shared" si="17"/>
        <v>113.50102416514532</v>
      </c>
      <c r="AI34" s="22">
        <f t="shared" si="18"/>
        <v>3632.0327732846504</v>
      </c>
      <c r="AJ34" s="22">
        <f t="shared" si="3"/>
        <v>10623.695861857603</v>
      </c>
      <c r="AL34" s="15">
        <f t="shared" si="37"/>
        <v>0.5</v>
      </c>
      <c r="AM34" s="7">
        <f t="shared" si="19"/>
        <v>226.94591652926638</v>
      </c>
      <c r="AN34" s="7">
        <f t="shared" si="20"/>
        <v>113.47295826463319</v>
      </c>
      <c r="AP34" s="7">
        <f t="shared" si="38"/>
        <v>36</v>
      </c>
      <c r="AQ34" s="7">
        <f t="shared" si="21"/>
        <v>52.666486307580918</v>
      </c>
      <c r="AR34" s="22">
        <f t="shared" si="22"/>
        <v>1895.993507072913</v>
      </c>
      <c r="AS34" s="7">
        <f t="shared" si="39"/>
        <v>60</v>
      </c>
      <c r="AT34" s="7">
        <f t="shared" si="23"/>
        <v>52.666486307580918</v>
      </c>
      <c r="AU34" s="22">
        <f t="shared" si="24"/>
        <v>3159.9891784548549</v>
      </c>
      <c r="AV34" s="22">
        <f t="shared" si="25"/>
        <v>5055.9826855277679</v>
      </c>
      <c r="AX34" s="7">
        <f t="shared" si="40"/>
        <v>231</v>
      </c>
      <c r="AY34" s="7">
        <f t="shared" si="26"/>
        <v>52.666486307580918</v>
      </c>
      <c r="AZ34" s="22">
        <f t="shared" si="41"/>
        <v>12165.958337051192</v>
      </c>
      <c r="BB34" s="7">
        <f t="shared" si="42"/>
        <v>126.66645123531153</v>
      </c>
      <c r="BD34" s="22">
        <f t="shared" si="27"/>
        <v>31516.893260535831</v>
      </c>
      <c r="BF34" s="22">
        <f t="shared" si="4"/>
        <v>55593.512403425964</v>
      </c>
      <c r="BH34" s="15">
        <f t="shared" si="28"/>
        <v>4.4448876419294177</v>
      </c>
      <c r="BJ34" s="7">
        <f>+'Almonds Margin - Alter.Ex.Rate'!BN34</f>
        <v>294.34197658947272</v>
      </c>
      <c r="BK34" s="7">
        <f>+'Almonds Margin - Alter.Ex.Rate'!BO34</f>
        <v>331.91590037399914</v>
      </c>
      <c r="BL34" s="7">
        <f>+'Almonds Margin - Alter.Ex.Rate'!BP34</f>
        <v>74.625447083007742</v>
      </c>
      <c r="BM34" s="7">
        <f>+'Almonds Margin - Alter.Ex.Rate'!BQ34</f>
        <v>107.58513225901993</v>
      </c>
    </row>
    <row r="35" spans="1:65" x14ac:dyDescent="0.2">
      <c r="A35" s="8">
        <f t="shared" si="5"/>
        <v>2049</v>
      </c>
      <c r="B35" s="22">
        <f>+'Grapes Margin - Baseline'!B35</f>
        <v>3494.9143520013477</v>
      </c>
      <c r="C35" s="22">
        <f t="shared" si="29"/>
        <v>7097.2177532788746</v>
      </c>
      <c r="E35" s="15">
        <f t="shared" si="43"/>
        <v>12.211260778752155</v>
      </c>
      <c r="F35" s="15">
        <f t="shared" si="43"/>
        <v>12.621034630388133</v>
      </c>
      <c r="H35" s="22">
        <f t="shared" si="0"/>
        <v>42677.310551692062</v>
      </c>
      <c r="I35" s="22">
        <f t="shared" si="1"/>
        <v>89574.231043538137</v>
      </c>
      <c r="K35" s="54">
        <f t="shared" si="31"/>
        <v>176</v>
      </c>
      <c r="L35" s="14">
        <f t="shared" si="6"/>
        <v>2.6734135064122855</v>
      </c>
      <c r="M35" s="7">
        <f t="shared" si="7"/>
        <v>470.52077712856226</v>
      </c>
      <c r="O35" s="15">
        <f t="shared" si="32"/>
        <v>4</v>
      </c>
      <c r="P35" s="7">
        <f t="shared" si="8"/>
        <v>53.95880471657825</v>
      </c>
      <c r="Q35" s="7">
        <f t="shared" si="9"/>
        <v>215.835218866313</v>
      </c>
      <c r="S35" s="15">
        <f t="shared" si="33"/>
        <v>2</v>
      </c>
      <c r="T35" s="7">
        <f t="shared" si="10"/>
        <v>53.95880471657825</v>
      </c>
      <c r="U35" s="7">
        <f t="shared" si="11"/>
        <v>107.9176094331565</v>
      </c>
      <c r="W35" s="14">
        <f t="shared" si="34"/>
        <v>8</v>
      </c>
      <c r="X35" s="7">
        <f t="shared" si="12"/>
        <v>161.87641414973479</v>
      </c>
      <c r="Y35" s="22">
        <f t="shared" si="13"/>
        <v>1295.0113131978783</v>
      </c>
      <c r="AA35" s="7">
        <f t="shared" si="14"/>
        <v>107.62923784833519</v>
      </c>
      <c r="AB35" s="7">
        <f t="shared" si="2"/>
        <v>1358.3923381261195</v>
      </c>
      <c r="AD35" s="7">
        <f t="shared" si="35"/>
        <v>15.4</v>
      </c>
      <c r="AE35" s="7">
        <f t="shared" si="15"/>
        <v>461.26816220715062</v>
      </c>
      <c r="AF35" s="22">
        <f t="shared" si="16"/>
        <v>7103.5296979901195</v>
      </c>
      <c r="AG35" s="7">
        <f t="shared" si="36"/>
        <v>32</v>
      </c>
      <c r="AH35" s="7">
        <f t="shared" si="17"/>
        <v>115.31704055178766</v>
      </c>
      <c r="AI35" s="22">
        <f t="shared" si="18"/>
        <v>3690.145297657205</v>
      </c>
      <c r="AJ35" s="22">
        <f t="shared" si="3"/>
        <v>10793.674995647325</v>
      </c>
      <c r="AL35" s="15">
        <f t="shared" si="37"/>
        <v>0.5</v>
      </c>
      <c r="AM35" s="7">
        <f t="shared" si="19"/>
        <v>234.20818585820291</v>
      </c>
      <c r="AN35" s="7">
        <f t="shared" si="20"/>
        <v>117.10409292910145</v>
      </c>
      <c r="AP35" s="7">
        <f t="shared" si="38"/>
        <v>36</v>
      </c>
      <c r="AQ35" s="7">
        <f t="shared" si="21"/>
        <v>54.351813869423509</v>
      </c>
      <c r="AR35" s="22">
        <f t="shared" si="22"/>
        <v>1956.6652992992463</v>
      </c>
      <c r="AS35" s="7">
        <f t="shared" si="39"/>
        <v>60</v>
      </c>
      <c r="AT35" s="7">
        <f t="shared" si="23"/>
        <v>54.351813869423509</v>
      </c>
      <c r="AU35" s="22">
        <f t="shared" si="24"/>
        <v>3261.1088321654106</v>
      </c>
      <c r="AV35" s="22">
        <f t="shared" si="25"/>
        <v>5217.7741314646573</v>
      </c>
      <c r="AX35" s="7">
        <f t="shared" si="40"/>
        <v>231</v>
      </c>
      <c r="AY35" s="7">
        <f t="shared" si="26"/>
        <v>54.351813869423509</v>
      </c>
      <c r="AZ35" s="22">
        <f t="shared" si="41"/>
        <v>12555.269003836831</v>
      </c>
      <c r="BB35" s="7">
        <f t="shared" si="42"/>
        <v>126.21034630388132</v>
      </c>
      <c r="BD35" s="22">
        <f t="shared" si="27"/>
        <v>32257.709826933824</v>
      </c>
      <c r="BF35" s="22">
        <f t="shared" si="4"/>
        <v>57316.521216604313</v>
      </c>
      <c r="BH35" s="15">
        <f t="shared" si="28"/>
        <v>4.4096463166528022</v>
      </c>
      <c r="BJ35" s="7">
        <f>+'Almonds Margin - Alter.Ex.Rate'!BN35</f>
        <v>303.76091984033587</v>
      </c>
      <c r="BK35" s="7">
        <f>+'Almonds Margin - Alter.Ex.Rate'!BO35</f>
        <v>342.53720918596713</v>
      </c>
      <c r="BL35" s="7">
        <f>+'Almonds Margin - Alter.Ex.Rate'!BP35</f>
        <v>74.625447083007742</v>
      </c>
      <c r="BM35" s="7">
        <f>+'Almonds Margin - Alter.Ex.Rate'!BQ35</f>
        <v>107.58513225901996</v>
      </c>
    </row>
    <row r="36" spans="1:65" x14ac:dyDescent="0.2">
      <c r="A36" s="8">
        <f t="shared" si="5"/>
        <v>2050</v>
      </c>
      <c r="B36" s="22">
        <f>+'Grapes Margin - Baseline'!B36</f>
        <v>3494.9143520013477</v>
      </c>
      <c r="C36" s="22">
        <f t="shared" si="29"/>
        <v>7324.3287213837984</v>
      </c>
      <c r="E36" s="15">
        <f t="shared" si="43"/>
        <v>12.167290049282343</v>
      </c>
      <c r="F36" s="15">
        <f t="shared" si="43"/>
        <v>12.575588373083763</v>
      </c>
      <c r="H36" s="22">
        <f t="shared" si="0"/>
        <v>42523.636618200042</v>
      </c>
      <c r="I36" s="22">
        <f t="shared" si="1"/>
        <v>92107.743109277551</v>
      </c>
      <c r="K36" s="54">
        <f t="shared" si="31"/>
        <v>176</v>
      </c>
      <c r="L36" s="14">
        <f t="shared" si="6"/>
        <v>2.6734135064122855</v>
      </c>
      <c r="M36" s="7">
        <f t="shared" si="7"/>
        <v>470.52077712856226</v>
      </c>
      <c r="O36" s="15">
        <f t="shared" si="32"/>
        <v>4</v>
      </c>
      <c r="P36" s="7">
        <f t="shared" si="8"/>
        <v>53.95880471657825</v>
      </c>
      <c r="Q36" s="7">
        <f t="shared" si="9"/>
        <v>215.835218866313</v>
      </c>
      <c r="S36" s="15">
        <f t="shared" si="33"/>
        <v>2</v>
      </c>
      <c r="T36" s="7">
        <f t="shared" si="10"/>
        <v>53.95880471657825</v>
      </c>
      <c r="U36" s="7">
        <f t="shared" si="11"/>
        <v>107.9176094331565</v>
      </c>
      <c r="W36" s="14">
        <f t="shared" si="34"/>
        <v>8</v>
      </c>
      <c r="X36" s="7">
        <f t="shared" si="12"/>
        <v>161.87641414973479</v>
      </c>
      <c r="Y36" s="22">
        <f t="shared" si="13"/>
        <v>1295.0113131978783</v>
      </c>
      <c r="AA36" s="7">
        <f t="shared" si="14"/>
        <v>109.35130565390855</v>
      </c>
      <c r="AB36" s="7">
        <f t="shared" si="2"/>
        <v>1375.1570079628211</v>
      </c>
      <c r="AD36" s="7">
        <f t="shared" si="35"/>
        <v>15.4</v>
      </c>
      <c r="AE36" s="7">
        <f t="shared" si="15"/>
        <v>468.64845280246504</v>
      </c>
      <c r="AF36" s="22">
        <f t="shared" si="16"/>
        <v>7217.186173157962</v>
      </c>
      <c r="AG36" s="7">
        <f t="shared" si="36"/>
        <v>32</v>
      </c>
      <c r="AH36" s="7">
        <f t="shared" si="17"/>
        <v>117.16211320061626</v>
      </c>
      <c r="AI36" s="22">
        <f t="shared" si="18"/>
        <v>3749.1876224197204</v>
      </c>
      <c r="AJ36" s="22">
        <f t="shared" si="3"/>
        <v>10966.373795577681</v>
      </c>
      <c r="AL36" s="15">
        <f t="shared" si="37"/>
        <v>0.5</v>
      </c>
      <c r="AM36" s="7">
        <f t="shared" si="19"/>
        <v>241.70284780566539</v>
      </c>
      <c r="AN36" s="7">
        <f t="shared" si="20"/>
        <v>120.85142390283269</v>
      </c>
      <c r="AP36" s="7">
        <f t="shared" si="38"/>
        <v>36</v>
      </c>
      <c r="AQ36" s="7">
        <f t="shared" si="21"/>
        <v>56.091071913245059</v>
      </c>
      <c r="AR36" s="22">
        <f t="shared" si="22"/>
        <v>2019.2785888768221</v>
      </c>
      <c r="AS36" s="7">
        <f t="shared" si="39"/>
        <v>60</v>
      </c>
      <c r="AT36" s="7">
        <f t="shared" si="23"/>
        <v>56.091071913245059</v>
      </c>
      <c r="AU36" s="22">
        <f t="shared" si="24"/>
        <v>3365.4643147947036</v>
      </c>
      <c r="AV36" s="22">
        <f t="shared" si="25"/>
        <v>5384.7429036715257</v>
      </c>
      <c r="AX36" s="7">
        <f t="shared" si="40"/>
        <v>231</v>
      </c>
      <c r="AY36" s="7">
        <f t="shared" si="26"/>
        <v>56.091071913245059</v>
      </c>
      <c r="AZ36" s="22">
        <f t="shared" si="41"/>
        <v>12957.037611959609</v>
      </c>
      <c r="BB36" s="7">
        <f t="shared" si="42"/>
        <v>125.75588373083762</v>
      </c>
      <c r="BD36" s="22">
        <f t="shared" si="27"/>
        <v>33019.203545431221</v>
      </c>
      <c r="BF36" s="22">
        <f t="shared" si="4"/>
        <v>59088.539563846331</v>
      </c>
      <c r="BH36" s="15">
        <f t="shared" si="28"/>
        <v>4.3751234678939097</v>
      </c>
      <c r="BJ36" s="7">
        <f>+'Almonds Margin - Alter.Ex.Rate'!BN36</f>
        <v>313.48126927522662</v>
      </c>
      <c r="BK36" s="7">
        <f>+'Almonds Margin - Alter.Ex.Rate'!BO36</f>
        <v>353.49839987991805</v>
      </c>
      <c r="BL36" s="7">
        <f>+'Almonds Margin - Alter.Ex.Rate'!BP36</f>
        <v>74.625447083007742</v>
      </c>
      <c r="BM36" s="7">
        <f>+'Almonds Margin - Alter.Ex.Rate'!BQ36</f>
        <v>107.58513225901996</v>
      </c>
    </row>
    <row r="37" spans="1:65" x14ac:dyDescent="0.2">
      <c r="A37" s="8">
        <f t="shared" si="5"/>
        <v>2051</v>
      </c>
      <c r="B37" s="22">
        <f>+'Grapes Margin - Baseline'!B37</f>
        <v>3494.9143520013477</v>
      </c>
      <c r="C37" s="22">
        <f t="shared" si="29"/>
        <v>7558.7072404680803</v>
      </c>
      <c r="E37" s="15">
        <f t="shared" si="43"/>
        <v>12.123477651133525</v>
      </c>
      <c r="F37" s="15">
        <f t="shared" si="43"/>
        <v>12.530305760231965</v>
      </c>
      <c r="H37" s="22">
        <f t="shared" si="0"/>
        <v>42370.516039114147</v>
      </c>
      <c r="I37" s="22">
        <f t="shared" si="1"/>
        <v>94712.912875144248</v>
      </c>
      <c r="K37" s="54">
        <f t="shared" si="31"/>
        <v>176</v>
      </c>
      <c r="L37" s="14">
        <f t="shared" si="6"/>
        <v>2.6734135064122855</v>
      </c>
      <c r="M37" s="7">
        <f t="shared" si="7"/>
        <v>470.52077712856226</v>
      </c>
      <c r="O37" s="15">
        <f t="shared" si="32"/>
        <v>4</v>
      </c>
      <c r="P37" s="7">
        <f t="shared" si="8"/>
        <v>53.95880471657825</v>
      </c>
      <c r="Q37" s="7">
        <f t="shared" si="9"/>
        <v>215.835218866313</v>
      </c>
      <c r="S37" s="15">
        <f t="shared" si="33"/>
        <v>2</v>
      </c>
      <c r="T37" s="7">
        <f t="shared" si="10"/>
        <v>53.95880471657825</v>
      </c>
      <c r="U37" s="7">
        <f t="shared" si="11"/>
        <v>107.9176094331565</v>
      </c>
      <c r="W37" s="14">
        <f t="shared" si="34"/>
        <v>8</v>
      </c>
      <c r="X37" s="7">
        <f t="shared" si="12"/>
        <v>161.87641414973479</v>
      </c>
      <c r="Y37" s="22">
        <f t="shared" si="13"/>
        <v>1295.0113131978783</v>
      </c>
      <c r="AA37" s="7">
        <f t="shared" si="14"/>
        <v>111.10092654437109</v>
      </c>
      <c r="AB37" s="7">
        <f t="shared" si="2"/>
        <v>1392.1285798460415</v>
      </c>
      <c r="AD37" s="7">
        <f t="shared" si="35"/>
        <v>15.4</v>
      </c>
      <c r="AE37" s="7">
        <f t="shared" si="15"/>
        <v>476.1468280473045</v>
      </c>
      <c r="AF37" s="22">
        <f t="shared" si="16"/>
        <v>7332.6611519284897</v>
      </c>
      <c r="AG37" s="7">
        <f t="shared" si="36"/>
        <v>32</v>
      </c>
      <c r="AH37" s="7">
        <f t="shared" si="17"/>
        <v>119.03670701182612</v>
      </c>
      <c r="AI37" s="22">
        <f t="shared" si="18"/>
        <v>3809.174624378436</v>
      </c>
      <c r="AJ37" s="22">
        <f t="shared" si="3"/>
        <v>11141.835776306925</v>
      </c>
      <c r="AL37" s="15">
        <f t="shared" si="37"/>
        <v>0.5</v>
      </c>
      <c r="AM37" s="7">
        <f t="shared" si="19"/>
        <v>249.43733893544669</v>
      </c>
      <c r="AN37" s="7">
        <f t="shared" si="20"/>
        <v>124.71866946772334</v>
      </c>
      <c r="AP37" s="7">
        <f t="shared" si="38"/>
        <v>36</v>
      </c>
      <c r="AQ37" s="7">
        <f t="shared" si="21"/>
        <v>57.8859862144689</v>
      </c>
      <c r="AR37" s="22">
        <f t="shared" si="22"/>
        <v>2083.8955037208802</v>
      </c>
      <c r="AS37" s="7">
        <f t="shared" si="39"/>
        <v>60</v>
      </c>
      <c r="AT37" s="7">
        <f t="shared" si="23"/>
        <v>57.8859862144689</v>
      </c>
      <c r="AU37" s="22">
        <f t="shared" si="24"/>
        <v>3473.1591728681342</v>
      </c>
      <c r="AV37" s="22">
        <f t="shared" si="25"/>
        <v>5557.054676589014</v>
      </c>
      <c r="AX37" s="7">
        <f t="shared" si="40"/>
        <v>231</v>
      </c>
      <c r="AY37" s="7">
        <f t="shared" si="26"/>
        <v>57.8859862144689</v>
      </c>
      <c r="AZ37" s="22">
        <f t="shared" si="41"/>
        <v>13371.662815542317</v>
      </c>
      <c r="BB37" s="7">
        <f t="shared" si="42"/>
        <v>125.30305760231965</v>
      </c>
      <c r="BD37" s="22">
        <f t="shared" si="27"/>
        <v>33801.98849398025</v>
      </c>
      <c r="BF37" s="22">
        <f t="shared" si="4"/>
        <v>60910.924381163997</v>
      </c>
      <c r="BH37" s="15">
        <f t="shared" si="28"/>
        <v>4.3413024024258027</v>
      </c>
      <c r="BJ37" s="7">
        <f>+'Almonds Margin - Alter.Ex.Rate'!BN37</f>
        <v>323.5126698920339</v>
      </c>
      <c r="BK37" s="7">
        <f>+'Almonds Margin - Alter.Ex.Rate'!BO37</f>
        <v>364.81034867607542</v>
      </c>
      <c r="BL37" s="7">
        <f>+'Almonds Margin - Alter.Ex.Rate'!BP37</f>
        <v>74.625447083007742</v>
      </c>
      <c r="BM37" s="7">
        <f>+'Almonds Margin - Alter.Ex.Rate'!BQ37</f>
        <v>107.58513225901996</v>
      </c>
    </row>
    <row r="38" spans="1:65" x14ac:dyDescent="0.2">
      <c r="A38" s="8">
        <f t="shared" si="5"/>
        <v>2052</v>
      </c>
      <c r="B38" s="22">
        <f>+'Grapes Margin - Baseline'!B38</f>
        <v>3494.9143520013477</v>
      </c>
      <c r="C38" s="22">
        <f t="shared" si="29"/>
        <v>7800.5858721630593</v>
      </c>
      <c r="E38" s="15">
        <f t="shared" si="43"/>
        <v>12.079823014180814</v>
      </c>
      <c r="F38" s="15">
        <f t="shared" si="43"/>
        <v>12.485186202576143</v>
      </c>
      <c r="H38" s="22">
        <f t="shared" si="0"/>
        <v>42217.946821896709</v>
      </c>
      <c r="I38" s="22">
        <f t="shared" si="1"/>
        <v>97391.767103140621</v>
      </c>
      <c r="K38" s="54">
        <f t="shared" si="31"/>
        <v>176</v>
      </c>
      <c r="L38" s="14">
        <f t="shared" si="6"/>
        <v>2.6734135064122855</v>
      </c>
      <c r="M38" s="7">
        <f t="shared" si="7"/>
        <v>470.52077712856226</v>
      </c>
      <c r="O38" s="15">
        <f t="shared" si="32"/>
        <v>4</v>
      </c>
      <c r="P38" s="7">
        <f t="shared" si="8"/>
        <v>53.95880471657825</v>
      </c>
      <c r="Q38" s="7">
        <f t="shared" si="9"/>
        <v>215.835218866313</v>
      </c>
      <c r="S38" s="15">
        <f t="shared" si="33"/>
        <v>2</v>
      </c>
      <c r="T38" s="7">
        <f t="shared" si="10"/>
        <v>53.95880471657825</v>
      </c>
      <c r="U38" s="7">
        <f t="shared" si="11"/>
        <v>107.9176094331565</v>
      </c>
      <c r="W38" s="14">
        <f t="shared" si="34"/>
        <v>8</v>
      </c>
      <c r="X38" s="7">
        <f t="shared" si="12"/>
        <v>161.87641414973479</v>
      </c>
      <c r="Y38" s="22">
        <f t="shared" si="13"/>
        <v>1295.0113131978783</v>
      </c>
      <c r="AA38" s="7">
        <f t="shared" si="14"/>
        <v>112.87854136908103</v>
      </c>
      <c r="AB38" s="7">
        <f t="shared" si="2"/>
        <v>1409.309607268171</v>
      </c>
      <c r="AD38" s="7">
        <f t="shared" si="35"/>
        <v>15.4</v>
      </c>
      <c r="AE38" s="7">
        <f t="shared" si="15"/>
        <v>483.76517729606138</v>
      </c>
      <c r="AF38" s="22">
        <f t="shared" si="16"/>
        <v>7449.9837303593458</v>
      </c>
      <c r="AG38" s="7">
        <f t="shared" si="36"/>
        <v>32</v>
      </c>
      <c r="AH38" s="7">
        <f t="shared" si="17"/>
        <v>120.94129432401535</v>
      </c>
      <c r="AI38" s="22">
        <f t="shared" si="18"/>
        <v>3870.121418368491</v>
      </c>
      <c r="AJ38" s="22">
        <f t="shared" si="3"/>
        <v>11320.105148727836</v>
      </c>
      <c r="AL38" s="15">
        <f t="shared" si="37"/>
        <v>0.5</v>
      </c>
      <c r="AM38" s="7">
        <f t="shared" si="19"/>
        <v>257.419333781381</v>
      </c>
      <c r="AN38" s="7">
        <f t="shared" si="20"/>
        <v>128.7096668906905</v>
      </c>
      <c r="AP38" s="7">
        <f t="shared" si="38"/>
        <v>36</v>
      </c>
      <c r="AQ38" s="7">
        <f t="shared" si="21"/>
        <v>59.738337773331899</v>
      </c>
      <c r="AR38" s="22">
        <f t="shared" si="22"/>
        <v>2150.5801598399485</v>
      </c>
      <c r="AS38" s="7">
        <f t="shared" si="39"/>
        <v>60</v>
      </c>
      <c r="AT38" s="7">
        <f t="shared" si="23"/>
        <v>59.738337773331899</v>
      </c>
      <c r="AU38" s="22">
        <f t="shared" si="24"/>
        <v>3584.3002663999141</v>
      </c>
      <c r="AV38" s="22">
        <f t="shared" si="25"/>
        <v>5734.8804262398626</v>
      </c>
      <c r="AX38" s="7">
        <f t="shared" si="40"/>
        <v>231</v>
      </c>
      <c r="AY38" s="7">
        <f t="shared" si="26"/>
        <v>59.738337773331899</v>
      </c>
      <c r="AZ38" s="22">
        <f t="shared" si="41"/>
        <v>13799.556025639669</v>
      </c>
      <c r="BB38" s="7">
        <f t="shared" si="42"/>
        <v>124.85186202576143</v>
      </c>
      <c r="BD38" s="22">
        <f t="shared" si="27"/>
        <v>34606.697655417898</v>
      </c>
      <c r="BF38" s="22">
        <f t="shared" si="4"/>
        <v>62785.069447722723</v>
      </c>
      <c r="BH38" s="15">
        <f t="shared" si="28"/>
        <v>4.3081668690765866</v>
      </c>
      <c r="BJ38" s="7">
        <f>+'Almonds Margin - Alter.Ex.Rate'!BN38</f>
        <v>333.865075328579</v>
      </c>
      <c r="BK38" s="7">
        <f>+'Almonds Margin - Alter.Ex.Rate'!BO38</f>
        <v>376.48427983370982</v>
      </c>
      <c r="BL38" s="7">
        <f>+'Almonds Margin - Alter.Ex.Rate'!BP38</f>
        <v>74.625447083007742</v>
      </c>
      <c r="BM38" s="7">
        <f>+'Almonds Margin - Alter.Ex.Rate'!BQ38</f>
        <v>107.58513225901996</v>
      </c>
    </row>
    <row r="39" spans="1:65" x14ac:dyDescent="0.2">
      <c r="A39" s="8">
        <f t="shared" si="5"/>
        <v>2053</v>
      </c>
      <c r="B39" s="22">
        <f>+'Grapes Margin - Baseline'!B39</f>
        <v>3494.9143520013477</v>
      </c>
      <c r="C39" s="22">
        <f t="shared" si="29"/>
        <v>8050.2046200722762</v>
      </c>
      <c r="E39" s="15">
        <f t="shared" si="43"/>
        <v>12.036325570352247</v>
      </c>
      <c r="F39" s="15">
        <f t="shared" si="43"/>
        <v>12.440229112981518</v>
      </c>
      <c r="H39" s="22">
        <f t="shared" si="0"/>
        <v>42065.926981184872</v>
      </c>
      <c r="I39" s="22">
        <f t="shared" si="1"/>
        <v>100146.38988008145</v>
      </c>
      <c r="K39" s="54">
        <f t="shared" si="31"/>
        <v>176</v>
      </c>
      <c r="L39" s="14">
        <f t="shared" si="6"/>
        <v>2.6734135064122855</v>
      </c>
      <c r="M39" s="7">
        <f t="shared" si="7"/>
        <v>470.52077712856226</v>
      </c>
      <c r="O39" s="15">
        <f t="shared" si="32"/>
        <v>4</v>
      </c>
      <c r="P39" s="7">
        <f t="shared" si="8"/>
        <v>53.95880471657825</v>
      </c>
      <c r="Q39" s="7">
        <f t="shared" si="9"/>
        <v>215.835218866313</v>
      </c>
      <c r="S39" s="15">
        <f t="shared" si="33"/>
        <v>2</v>
      </c>
      <c r="T39" s="7">
        <f t="shared" si="10"/>
        <v>53.95880471657825</v>
      </c>
      <c r="U39" s="7">
        <f t="shared" si="11"/>
        <v>107.9176094331565</v>
      </c>
      <c r="W39" s="14">
        <f t="shared" si="34"/>
        <v>8</v>
      </c>
      <c r="X39" s="7">
        <f t="shared" si="12"/>
        <v>161.87641414973479</v>
      </c>
      <c r="Y39" s="22">
        <f t="shared" si="13"/>
        <v>1295.0113131978783</v>
      </c>
      <c r="AA39" s="7">
        <f t="shared" si="14"/>
        <v>114.68459803098634</v>
      </c>
      <c r="AB39" s="7">
        <f t="shared" si="2"/>
        <v>1426.7026752356592</v>
      </c>
      <c r="AD39" s="7">
        <f t="shared" si="35"/>
        <v>15.4</v>
      </c>
      <c r="AE39" s="7">
        <f t="shared" si="15"/>
        <v>491.50542013279835</v>
      </c>
      <c r="AF39" s="22">
        <f t="shared" si="16"/>
        <v>7569.1834700450945</v>
      </c>
      <c r="AG39" s="7">
        <f t="shared" si="36"/>
        <v>32</v>
      </c>
      <c r="AH39" s="7">
        <f t="shared" si="17"/>
        <v>122.87635503319959</v>
      </c>
      <c r="AI39" s="22">
        <f t="shared" si="18"/>
        <v>3932.0433610623868</v>
      </c>
      <c r="AJ39" s="22">
        <f t="shared" si="3"/>
        <v>11501.22683110748</v>
      </c>
      <c r="AL39" s="15">
        <f t="shared" si="37"/>
        <v>0.5</v>
      </c>
      <c r="AM39" s="7">
        <f t="shared" si="19"/>
        <v>265.65675246238521</v>
      </c>
      <c r="AN39" s="7">
        <f t="shared" si="20"/>
        <v>132.82837623119261</v>
      </c>
      <c r="AP39" s="7">
        <f t="shared" si="38"/>
        <v>36</v>
      </c>
      <c r="AQ39" s="7">
        <f t="shared" si="21"/>
        <v>61.649964582078518</v>
      </c>
      <c r="AR39" s="22">
        <f t="shared" si="22"/>
        <v>2219.3987249548268</v>
      </c>
      <c r="AS39" s="7">
        <f t="shared" si="39"/>
        <v>60</v>
      </c>
      <c r="AT39" s="7">
        <f t="shared" si="23"/>
        <v>61.649964582078518</v>
      </c>
      <c r="AU39" s="22">
        <f t="shared" si="24"/>
        <v>3698.9978749247111</v>
      </c>
      <c r="AV39" s="22">
        <f t="shared" si="25"/>
        <v>5918.3965998795375</v>
      </c>
      <c r="AX39" s="7">
        <f t="shared" si="40"/>
        <v>231</v>
      </c>
      <c r="AY39" s="7">
        <f t="shared" si="26"/>
        <v>61.649964582078518</v>
      </c>
      <c r="AZ39" s="22">
        <f t="shared" si="41"/>
        <v>14241.141818460137</v>
      </c>
      <c r="BB39" s="7">
        <f t="shared" si="42"/>
        <v>124.40229112981518</v>
      </c>
      <c r="BD39" s="22">
        <f t="shared" si="27"/>
        <v>35433.983510669736</v>
      </c>
      <c r="BF39" s="22">
        <f t="shared" si="4"/>
        <v>64712.406369411714</v>
      </c>
      <c r="BH39" s="15">
        <f t="shared" si="28"/>
        <v>4.2757010456232418</v>
      </c>
      <c r="BJ39" s="7">
        <f>+'Almonds Margin - Alter.Ex.Rate'!BN39</f>
        <v>344.5487577390935</v>
      </c>
      <c r="BK39" s="7">
        <f>+'Almonds Margin - Alter.Ex.Rate'!BO39</f>
        <v>388.53177678838853</v>
      </c>
      <c r="BL39" s="7">
        <f>+'Almonds Margin - Alter.Ex.Rate'!BP39</f>
        <v>74.625447083007742</v>
      </c>
      <c r="BM39" s="7">
        <f>+'Almonds Margin - Alter.Ex.Rate'!BQ39</f>
        <v>107.58513225901996</v>
      </c>
    </row>
    <row r="40" spans="1:65" x14ac:dyDescent="0.2">
      <c r="A40" s="8">
        <f t="shared" si="5"/>
        <v>2054</v>
      </c>
      <c r="B40" s="22">
        <f>+'Grapes Margin - Baseline'!B40</f>
        <v>3494.9143520013477</v>
      </c>
      <c r="C40" s="22">
        <f t="shared" si="29"/>
        <v>8307.8111679145895</v>
      </c>
      <c r="E40" s="15">
        <f t="shared" si="43"/>
        <v>11.992984753621394</v>
      </c>
      <c r="F40" s="15">
        <f t="shared" si="43"/>
        <v>12.395433906427483</v>
      </c>
      <c r="H40" s="22">
        <f t="shared" si="0"/>
        <v>41914.454538764759</v>
      </c>
      <c r="I40" s="22">
        <f t="shared" si="1"/>
        <v>102978.92423896541</v>
      </c>
      <c r="K40" s="54">
        <f t="shared" si="31"/>
        <v>176</v>
      </c>
      <c r="L40" s="14">
        <f t="shared" si="6"/>
        <v>2.6734135064122855</v>
      </c>
      <c r="M40" s="7">
        <f t="shared" si="7"/>
        <v>470.52077712856226</v>
      </c>
      <c r="O40" s="15">
        <f t="shared" si="32"/>
        <v>4</v>
      </c>
      <c r="P40" s="7">
        <f t="shared" si="8"/>
        <v>53.95880471657825</v>
      </c>
      <c r="Q40" s="7">
        <f t="shared" si="9"/>
        <v>215.835218866313</v>
      </c>
      <c r="S40" s="15">
        <f t="shared" si="33"/>
        <v>2</v>
      </c>
      <c r="T40" s="7">
        <f t="shared" si="10"/>
        <v>53.95880471657825</v>
      </c>
      <c r="U40" s="7">
        <f t="shared" si="11"/>
        <v>107.9176094331565</v>
      </c>
      <c r="W40" s="14">
        <f t="shared" si="34"/>
        <v>8</v>
      </c>
      <c r="X40" s="7">
        <f t="shared" si="12"/>
        <v>161.87641414973479</v>
      </c>
      <c r="Y40" s="22">
        <f t="shared" si="13"/>
        <v>1295.0113131978783</v>
      </c>
      <c r="AA40" s="7">
        <f t="shared" si="14"/>
        <v>116.51955159948211</v>
      </c>
      <c r="AB40" s="7">
        <f t="shared" si="2"/>
        <v>1444.3104006579472</v>
      </c>
      <c r="AD40" s="7">
        <f t="shared" si="35"/>
        <v>15.4</v>
      </c>
      <c r="AE40" s="7">
        <f t="shared" si="15"/>
        <v>499.36950685492315</v>
      </c>
      <c r="AF40" s="22">
        <f t="shared" si="16"/>
        <v>7690.2904055658164</v>
      </c>
      <c r="AG40" s="7">
        <f t="shared" si="36"/>
        <v>32</v>
      </c>
      <c r="AH40" s="7">
        <f t="shared" si="17"/>
        <v>124.84237671373079</v>
      </c>
      <c r="AI40" s="22">
        <f t="shared" si="18"/>
        <v>3994.9560548393852</v>
      </c>
      <c r="AJ40" s="22">
        <f t="shared" si="3"/>
        <v>11685.246460405202</v>
      </c>
      <c r="AL40" s="15">
        <f t="shared" si="37"/>
        <v>0.5</v>
      </c>
      <c r="AM40" s="7">
        <f t="shared" si="19"/>
        <v>274.15776854118155</v>
      </c>
      <c r="AN40" s="7">
        <f t="shared" si="20"/>
        <v>137.07888427059078</v>
      </c>
      <c r="AP40" s="7">
        <f t="shared" si="38"/>
        <v>36</v>
      </c>
      <c r="AQ40" s="7">
        <f t="shared" si="21"/>
        <v>63.622763448705037</v>
      </c>
      <c r="AR40" s="22">
        <f t="shared" si="22"/>
        <v>2290.4194841533813</v>
      </c>
      <c r="AS40" s="7">
        <f t="shared" si="39"/>
        <v>60</v>
      </c>
      <c r="AT40" s="7">
        <f t="shared" si="23"/>
        <v>63.622763448705037</v>
      </c>
      <c r="AU40" s="22">
        <f t="shared" si="24"/>
        <v>3817.365806922302</v>
      </c>
      <c r="AV40" s="22">
        <f t="shared" si="25"/>
        <v>6107.7852910756828</v>
      </c>
      <c r="AX40" s="7">
        <f t="shared" si="40"/>
        <v>231</v>
      </c>
      <c r="AY40" s="7">
        <f t="shared" si="26"/>
        <v>63.622763448705037</v>
      </c>
      <c r="AZ40" s="22">
        <f t="shared" si="41"/>
        <v>14696.858356650864</v>
      </c>
      <c r="BB40" s="7">
        <f t="shared" si="42"/>
        <v>123.95433906427483</v>
      </c>
      <c r="BD40" s="22">
        <f t="shared" si="27"/>
        <v>36284.51865075047</v>
      </c>
      <c r="BF40" s="22">
        <f t="shared" si="4"/>
        <v>66694.405588214941</v>
      </c>
      <c r="BH40" s="15">
        <f t="shared" si="28"/>
        <v>4.2438895261128264</v>
      </c>
      <c r="BJ40" s="7">
        <f>+'Almonds Margin - Alter.Ex.Rate'!BN40</f>
        <v>355.57431798674452</v>
      </c>
      <c r="BK40" s="7">
        <f>+'Almonds Margin - Alter.Ex.Rate'!BO40</f>
        <v>400.96479364561696</v>
      </c>
      <c r="BL40" s="7">
        <f>+'Almonds Margin - Alter.Ex.Rate'!BP40</f>
        <v>74.625447083007742</v>
      </c>
      <c r="BM40" s="7">
        <f>+'Almonds Margin - Alter.Ex.Rate'!BQ40</f>
        <v>107.58513225901996</v>
      </c>
    </row>
    <row r="41" spans="1:65" x14ac:dyDescent="0.2">
      <c r="A41" s="8">
        <f t="shared" si="5"/>
        <v>2055</v>
      </c>
      <c r="B41" s="22">
        <f>+'Grapes Margin - Baseline'!B41</f>
        <v>3494.9143520013477</v>
      </c>
      <c r="C41" s="22">
        <f t="shared" si="29"/>
        <v>8573.6611252878574</v>
      </c>
      <c r="E41" s="15">
        <f>+E7*'Grapes Margin - Baseline'!E41/'Grapes Margin - Baseline'!E7</f>
        <v>11.949800000000002</v>
      </c>
      <c r="F41" s="15">
        <f>+F7*E41/E7</f>
        <v>12.350800000000001</v>
      </c>
      <c r="H41" s="22">
        <f t="shared" si="0"/>
        <v>41763.527523545708</v>
      </c>
      <c r="I41" s="22">
        <f t="shared" si="1"/>
        <v>105891.57382620528</v>
      </c>
      <c r="K41" s="54">
        <f t="shared" si="31"/>
        <v>176</v>
      </c>
      <c r="L41" s="14">
        <f t="shared" si="6"/>
        <v>2.6734135064122855</v>
      </c>
      <c r="M41" s="7">
        <f t="shared" si="7"/>
        <v>470.52077712856226</v>
      </c>
      <c r="O41" s="15">
        <f t="shared" si="32"/>
        <v>4</v>
      </c>
      <c r="P41" s="7">
        <f t="shared" si="8"/>
        <v>53.95880471657825</v>
      </c>
      <c r="Q41" s="7">
        <f t="shared" si="9"/>
        <v>215.835218866313</v>
      </c>
      <c r="S41" s="15">
        <f t="shared" si="33"/>
        <v>2</v>
      </c>
      <c r="T41" s="7">
        <f t="shared" si="10"/>
        <v>53.95880471657825</v>
      </c>
      <c r="U41" s="7">
        <f t="shared" si="11"/>
        <v>107.9176094331565</v>
      </c>
      <c r="W41" s="14">
        <f t="shared" si="34"/>
        <v>8</v>
      </c>
      <c r="X41" s="7">
        <f t="shared" si="12"/>
        <v>161.87641414973479</v>
      </c>
      <c r="Y41" s="22">
        <f t="shared" si="13"/>
        <v>1295.0113131978783</v>
      </c>
      <c r="AA41" s="7">
        <f t="shared" si="14"/>
        <v>118.38386442507382</v>
      </c>
      <c r="AB41" s="7">
        <f t="shared" si="2"/>
        <v>1462.1354327412018</v>
      </c>
      <c r="AD41" s="7">
        <f t="shared" si="35"/>
        <v>15.4</v>
      </c>
      <c r="AE41" s="7">
        <f t="shared" si="15"/>
        <v>507.3594189646019</v>
      </c>
      <c r="AF41" s="22">
        <f t="shared" si="16"/>
        <v>7813.3350520548693</v>
      </c>
      <c r="AG41" s="7">
        <f t="shared" si="36"/>
        <v>32</v>
      </c>
      <c r="AH41" s="7">
        <f t="shared" si="17"/>
        <v>126.83985474115048</v>
      </c>
      <c r="AI41" s="22">
        <f t="shared" si="18"/>
        <v>4058.8753517168152</v>
      </c>
      <c r="AJ41" s="22">
        <f t="shared" si="3"/>
        <v>11872.210403771685</v>
      </c>
      <c r="AL41" s="15">
        <f t="shared" si="37"/>
        <v>0.5</v>
      </c>
      <c r="AM41" s="7">
        <f t="shared" si="19"/>
        <v>282.93081713449936</v>
      </c>
      <c r="AN41" s="7">
        <f t="shared" si="20"/>
        <v>141.46540856724968</v>
      </c>
      <c r="AP41" s="7">
        <f t="shared" si="38"/>
        <v>36</v>
      </c>
      <c r="AQ41" s="7">
        <f t="shared" si="21"/>
        <v>65.658691879063596</v>
      </c>
      <c r="AR41" s="22">
        <f t="shared" si="22"/>
        <v>2363.7129076462893</v>
      </c>
      <c r="AS41" s="7">
        <f t="shared" si="39"/>
        <v>60</v>
      </c>
      <c r="AT41" s="7">
        <f t="shared" si="23"/>
        <v>65.658691879063596</v>
      </c>
      <c r="AU41" s="22">
        <f t="shared" si="24"/>
        <v>3939.5215127438159</v>
      </c>
      <c r="AV41" s="22">
        <f t="shared" si="25"/>
        <v>6303.2344203901048</v>
      </c>
      <c r="AX41" s="7">
        <f t="shared" si="40"/>
        <v>231</v>
      </c>
      <c r="AY41" s="7">
        <f t="shared" si="26"/>
        <v>65.658691879063596</v>
      </c>
      <c r="AZ41" s="22">
        <f t="shared" si="41"/>
        <v>15167.15782406369</v>
      </c>
      <c r="BB41" s="7">
        <f t="shared" si="42"/>
        <v>123.50800000000001</v>
      </c>
      <c r="BD41" s="22">
        <f t="shared" si="27"/>
        <v>37158.996408159845</v>
      </c>
      <c r="BF41" s="22">
        <f t="shared" si="4"/>
        <v>68732.577418045432</v>
      </c>
      <c r="BH41" s="15">
        <f t="shared" si="28"/>
        <v>4.2127173085958072</v>
      </c>
      <c r="BJ41" s="7">
        <f>+'Almonds Margin - Alter.Ex.Rate'!BN41</f>
        <v>366.95269616232036</v>
      </c>
      <c r="BK41" s="7">
        <f>+'Almonds Margin - Alter.Ex.Rate'!BO41</f>
        <v>413.7956670422767</v>
      </c>
      <c r="BL41" s="7">
        <f>+'Almonds Margin - Alter.Ex.Rate'!BP41</f>
        <v>74.625447083007742</v>
      </c>
      <c r="BM41" s="7">
        <f>+'Almonds Margin - Alter.Ex.Rate'!BQ41</f>
        <v>107.58513225901996</v>
      </c>
    </row>
    <row r="42" spans="1:65" x14ac:dyDescent="0.2">
      <c r="A42" s="8"/>
      <c r="E42" s="14"/>
      <c r="F42" s="29"/>
      <c r="BB42" s="7"/>
    </row>
  </sheetData>
  <mergeCells count="47">
    <mergeCell ref="BJ6:BM6"/>
    <mergeCell ref="BJ3:BM3"/>
    <mergeCell ref="AY5:AY6"/>
    <mergeCell ref="AZ5:AZ6"/>
    <mergeCell ref="BD5:BD6"/>
    <mergeCell ref="BF5:BF6"/>
    <mergeCell ref="BH5:BH6"/>
    <mergeCell ref="AX4:AZ4"/>
    <mergeCell ref="AX5:AX6"/>
    <mergeCell ref="E6:F6"/>
    <mergeCell ref="H6:I6"/>
    <mergeCell ref="AM5:AM6"/>
    <mergeCell ref="AN5:AN6"/>
    <mergeCell ref="AP5:AR5"/>
    <mergeCell ref="S5:S6"/>
    <mergeCell ref="T5:T6"/>
    <mergeCell ref="U5:U6"/>
    <mergeCell ref="W5:W6"/>
    <mergeCell ref="X5:X6"/>
    <mergeCell ref="Y5:Y6"/>
    <mergeCell ref="K5:K6"/>
    <mergeCell ref="L5:L6"/>
    <mergeCell ref="M5:M6"/>
    <mergeCell ref="O5:O6"/>
    <mergeCell ref="P5:P6"/>
    <mergeCell ref="AL4:AN4"/>
    <mergeCell ref="AA5:AA6"/>
    <mergeCell ref="AB5:AB6"/>
    <mergeCell ref="AD5:AF5"/>
    <mergeCell ref="AG5:AI5"/>
    <mergeCell ref="AJ5:AJ6"/>
    <mergeCell ref="AP4:AV4"/>
    <mergeCell ref="AS5:AU5"/>
    <mergeCell ref="AV5:AV6"/>
    <mergeCell ref="B3:H3"/>
    <mergeCell ref="K3:BD3"/>
    <mergeCell ref="B4:C4"/>
    <mergeCell ref="E4:F4"/>
    <mergeCell ref="H4:I4"/>
    <mergeCell ref="K4:M4"/>
    <mergeCell ref="O4:Q4"/>
    <mergeCell ref="S4:U4"/>
    <mergeCell ref="W4:Y4"/>
    <mergeCell ref="AL5:AL6"/>
    <mergeCell ref="Q5:Q6"/>
    <mergeCell ref="AA4:AB4"/>
    <mergeCell ref="AD4:AJ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BQ42"/>
  <sheetViews>
    <sheetView topLeftCell="AP2" workbookViewId="0">
      <selection activeCell="BU8" sqref="BU8"/>
    </sheetView>
  </sheetViews>
  <sheetFormatPr baseColWidth="10" defaultColWidth="8.83203125" defaultRowHeight="15" customHeight="1" x14ac:dyDescent="0.2"/>
  <cols>
    <col min="2" max="2" width="16.1640625" bestFit="1" customWidth="1"/>
    <col min="3" max="3" width="16.6640625" bestFit="1" customWidth="1"/>
    <col min="4" max="4" width="16.6640625" customWidth="1"/>
    <col min="5" max="5" width="0.83203125" customWidth="1"/>
    <col min="6" max="6" width="12.1640625" bestFit="1" customWidth="1"/>
    <col min="7" max="7" width="12.1640625" customWidth="1"/>
    <col min="8" max="8" width="0.83203125" customWidth="1"/>
    <col min="9" max="9" width="10.5" customWidth="1"/>
    <col min="10" max="10" width="11.5" customWidth="1"/>
    <col min="11" max="11" width="5.5" customWidth="1"/>
    <col min="13" max="13" width="9.83203125" customWidth="1"/>
    <col min="15" max="15" width="0.83203125" customWidth="1"/>
    <col min="16" max="16" width="12.5" customWidth="1"/>
    <col min="17" max="17" width="10.1640625" customWidth="1"/>
    <col min="19" max="19" width="0.83203125" customWidth="1"/>
    <col min="20" max="20" width="12.5" customWidth="1"/>
    <col min="21" max="22" width="9.6640625" customWidth="1"/>
    <col min="23" max="23" width="0.83203125" customWidth="1"/>
    <col min="24" max="24" width="12.5" customWidth="1"/>
    <col min="25" max="25" width="9.6640625" customWidth="1"/>
    <col min="27" max="27" width="0.83203125" customWidth="1"/>
    <col min="28" max="28" width="13.5" customWidth="1"/>
    <col min="29" max="29" width="10.1640625" customWidth="1"/>
    <col min="30" max="30" width="0.83203125" customWidth="1"/>
    <col min="31" max="31" width="12.6640625" bestFit="1" customWidth="1"/>
    <col min="33" max="33" width="14.83203125" customWidth="1"/>
    <col min="34" max="34" width="12.6640625" bestFit="1" customWidth="1"/>
    <col min="36" max="36" width="14.83203125" customWidth="1"/>
    <col min="37" max="37" width="9.1640625" customWidth="1"/>
    <col min="38" max="38" width="0.83203125" customWidth="1"/>
    <col min="39" max="40" width="9.6640625" customWidth="1"/>
    <col min="41" max="41" width="10" customWidth="1"/>
    <col min="42" max="42" width="0.83203125" customWidth="1"/>
    <col min="43" max="43" width="12.6640625" bestFit="1" customWidth="1"/>
    <col min="44" max="44" width="9.6640625" customWidth="1"/>
    <col min="45" max="45" width="14.83203125" bestFit="1" customWidth="1"/>
    <col min="46" max="46" width="12.6640625" bestFit="1" customWidth="1"/>
    <col min="47" max="47" width="9.6640625" customWidth="1"/>
    <col min="48" max="48" width="14.83203125" bestFit="1" customWidth="1"/>
    <col min="49" max="49" width="10" customWidth="1"/>
    <col min="50" max="50" width="0.83203125" customWidth="1"/>
    <col min="51" max="53" width="9.6640625" customWidth="1"/>
    <col min="54" max="54" width="0.83203125" customWidth="1"/>
    <col min="55" max="55" width="12.5" bestFit="1" customWidth="1"/>
    <col min="56" max="56" width="1.33203125" customWidth="1"/>
    <col min="57" max="57" width="12.33203125" customWidth="1"/>
    <col min="58" max="58" width="12.5" bestFit="1" customWidth="1"/>
    <col min="59" max="59" width="5.6640625" customWidth="1"/>
    <col min="61" max="61" width="10" customWidth="1"/>
    <col min="62" max="62" width="5.6640625" customWidth="1"/>
    <col min="63" max="63" width="15.83203125" bestFit="1" customWidth="1"/>
    <col min="64" max="64" width="15.83203125" customWidth="1"/>
    <col min="66" max="68" width="10.6640625" customWidth="1"/>
    <col min="69" max="69" width="9.33203125" customWidth="1"/>
  </cols>
  <sheetData>
    <row r="1" spans="1:69" x14ac:dyDescent="0.2">
      <c r="A1" s="2" t="s">
        <v>71</v>
      </c>
    </row>
    <row r="2" spans="1:69" x14ac:dyDescent="0.2">
      <c r="BC2" s="103" t="s">
        <v>46</v>
      </c>
      <c r="BD2" s="103"/>
    </row>
    <row r="3" spans="1:69" x14ac:dyDescent="0.2">
      <c r="B3" s="252" t="s">
        <v>0</v>
      </c>
      <c r="C3" s="252"/>
      <c r="D3" s="252"/>
      <c r="E3" s="252"/>
      <c r="F3" s="252"/>
      <c r="G3" s="252"/>
      <c r="H3" s="252"/>
      <c r="I3" s="252"/>
      <c r="J3" s="50"/>
      <c r="L3" s="265" t="s">
        <v>1</v>
      </c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E3" s="265"/>
      <c r="BF3" s="265"/>
      <c r="BH3" s="268" t="s">
        <v>2</v>
      </c>
      <c r="BI3" s="268"/>
      <c r="BK3" s="269" t="s">
        <v>3</v>
      </c>
      <c r="BL3" s="269"/>
      <c r="BN3" s="251" t="s">
        <v>4</v>
      </c>
      <c r="BO3" s="251"/>
      <c r="BP3" s="251"/>
      <c r="BQ3" s="251"/>
    </row>
    <row r="4" spans="1:69" x14ac:dyDescent="0.2">
      <c r="B4" s="253" t="s">
        <v>47</v>
      </c>
      <c r="C4" s="253"/>
      <c r="D4" s="38"/>
      <c r="E4" s="3"/>
      <c r="F4" s="257" t="s">
        <v>82</v>
      </c>
      <c r="G4" s="257" t="s">
        <v>83</v>
      </c>
      <c r="H4" s="3"/>
      <c r="I4" s="253" t="s">
        <v>49</v>
      </c>
      <c r="J4" s="253"/>
      <c r="L4" s="242" t="s">
        <v>10</v>
      </c>
      <c r="M4" s="242"/>
      <c r="N4" s="242"/>
      <c r="O4" s="3"/>
      <c r="P4" s="242" t="s">
        <v>11</v>
      </c>
      <c r="Q4" s="242"/>
      <c r="R4" s="242"/>
      <c r="S4" s="3"/>
      <c r="T4" s="242" t="s">
        <v>12</v>
      </c>
      <c r="U4" s="242"/>
      <c r="V4" s="242"/>
      <c r="W4" s="3"/>
      <c r="X4" s="242" t="s">
        <v>13</v>
      </c>
      <c r="Y4" s="242"/>
      <c r="Z4" s="242"/>
      <c r="AA4" s="3"/>
      <c r="AB4" s="242" t="s">
        <v>15</v>
      </c>
      <c r="AC4" s="242"/>
      <c r="AD4" s="3"/>
      <c r="AE4" s="242" t="s">
        <v>16</v>
      </c>
      <c r="AF4" s="242"/>
      <c r="AG4" s="242"/>
      <c r="AH4" s="242"/>
      <c r="AI4" s="242"/>
      <c r="AJ4" s="242"/>
      <c r="AK4" s="242"/>
      <c r="AL4" s="12"/>
      <c r="AM4" s="242" t="s">
        <v>17</v>
      </c>
      <c r="AN4" s="242"/>
      <c r="AO4" s="242"/>
      <c r="AP4" s="3"/>
      <c r="AQ4" s="242" t="s">
        <v>72</v>
      </c>
      <c r="AR4" s="242"/>
      <c r="AS4" s="242"/>
      <c r="AT4" s="242"/>
      <c r="AU4" s="242"/>
      <c r="AV4" s="242"/>
      <c r="AW4" s="242"/>
      <c r="AX4" s="3"/>
      <c r="AY4" s="242" t="s">
        <v>19</v>
      </c>
      <c r="AZ4" s="242"/>
      <c r="BA4" s="242"/>
      <c r="BB4" s="3"/>
      <c r="BC4" s="23" t="s">
        <v>23</v>
      </c>
      <c r="BD4" s="23"/>
      <c r="BE4" s="262" t="s">
        <v>66</v>
      </c>
      <c r="BF4" s="9" t="s">
        <v>25</v>
      </c>
      <c r="BH4" t="s">
        <v>68</v>
      </c>
      <c r="BI4" s="140" t="s">
        <v>69</v>
      </c>
      <c r="BK4" t="s">
        <v>68</v>
      </c>
      <c r="BL4" s="140" t="s">
        <v>69</v>
      </c>
      <c r="BN4" s="3"/>
      <c r="BO4" s="3"/>
      <c r="BP4" s="3"/>
      <c r="BQ4" s="3"/>
    </row>
    <row r="5" spans="1:69" ht="15" customHeight="1" x14ac:dyDescent="0.2">
      <c r="B5" t="s">
        <v>68</v>
      </c>
      <c r="C5" s="258" t="s">
        <v>84</v>
      </c>
      <c r="D5" s="258" t="s">
        <v>85</v>
      </c>
      <c r="E5" s="1"/>
      <c r="F5" s="257"/>
      <c r="G5" s="257"/>
      <c r="H5" s="1"/>
      <c r="I5" t="s">
        <v>68</v>
      </c>
      <c r="J5" s="136" t="s">
        <v>69</v>
      </c>
      <c r="L5" s="258" t="s">
        <v>26</v>
      </c>
      <c r="M5" s="258" t="s">
        <v>86</v>
      </c>
      <c r="N5" s="266" t="s">
        <v>28</v>
      </c>
      <c r="O5" s="10"/>
      <c r="P5" s="243" t="s">
        <v>29</v>
      </c>
      <c r="Q5" s="243" t="s">
        <v>30</v>
      </c>
      <c r="R5" s="243" t="s">
        <v>28</v>
      </c>
      <c r="S5" s="10"/>
      <c r="T5" s="243" t="s">
        <v>29</v>
      </c>
      <c r="U5" s="243" t="s">
        <v>30</v>
      </c>
      <c r="V5" s="243" t="s">
        <v>28</v>
      </c>
      <c r="W5" s="10"/>
      <c r="X5" s="243" t="s">
        <v>29</v>
      </c>
      <c r="Y5" s="243" t="s">
        <v>30</v>
      </c>
      <c r="Z5" s="243" t="s">
        <v>28</v>
      </c>
      <c r="AA5" s="10"/>
      <c r="AB5" s="244" t="s">
        <v>76</v>
      </c>
      <c r="AC5" s="243" t="s">
        <v>28</v>
      </c>
      <c r="AD5" s="10"/>
      <c r="AE5" s="254" t="s">
        <v>77</v>
      </c>
      <c r="AF5" s="255"/>
      <c r="AG5" s="256"/>
      <c r="AH5" s="254" t="s">
        <v>53</v>
      </c>
      <c r="AI5" s="255"/>
      <c r="AJ5" s="256"/>
      <c r="AK5" s="241" t="s">
        <v>28</v>
      </c>
      <c r="AL5" s="11"/>
      <c r="AM5" s="257" t="s">
        <v>32</v>
      </c>
      <c r="AN5" s="260" t="s">
        <v>33</v>
      </c>
      <c r="AO5" s="266" t="s">
        <v>28</v>
      </c>
      <c r="AP5" s="10"/>
      <c r="AQ5" s="254" t="s">
        <v>17</v>
      </c>
      <c r="AR5" s="255"/>
      <c r="AS5" s="256"/>
      <c r="AT5" s="254" t="s">
        <v>53</v>
      </c>
      <c r="AU5" s="255"/>
      <c r="AV5" s="256"/>
      <c r="AW5" s="241" t="s">
        <v>28</v>
      </c>
      <c r="AX5" s="10"/>
      <c r="AY5" s="241" t="s">
        <v>35</v>
      </c>
      <c r="AZ5" s="18" t="s">
        <v>33</v>
      </c>
      <c r="BA5" s="243" t="s">
        <v>28</v>
      </c>
      <c r="BB5" s="10"/>
      <c r="BC5" s="11"/>
      <c r="BD5" s="11"/>
      <c r="BE5" s="262"/>
      <c r="BF5" s="267" t="s">
        <v>37</v>
      </c>
      <c r="BH5" s="241" t="s">
        <v>37</v>
      </c>
      <c r="BI5" s="267" t="s">
        <v>37</v>
      </c>
      <c r="BK5" s="241" t="s">
        <v>38</v>
      </c>
      <c r="BL5" s="267" t="s">
        <v>38</v>
      </c>
      <c r="BN5" s="10" t="s">
        <v>39</v>
      </c>
      <c r="BO5" s="10" t="s">
        <v>40</v>
      </c>
      <c r="BP5" s="10" t="s">
        <v>41</v>
      </c>
      <c r="BQ5" t="s">
        <v>10</v>
      </c>
    </row>
    <row r="6" spans="1:69" ht="16" x14ac:dyDescent="0.2">
      <c r="B6" s="1" t="s">
        <v>78</v>
      </c>
      <c r="C6" s="258"/>
      <c r="D6" s="258"/>
      <c r="E6" s="1"/>
      <c r="F6" s="257"/>
      <c r="G6" s="257"/>
      <c r="H6" s="1"/>
      <c r="I6" s="24" t="s">
        <v>37</v>
      </c>
      <c r="J6" s="137" t="s">
        <v>37</v>
      </c>
      <c r="L6" s="258"/>
      <c r="M6" s="258"/>
      <c r="N6" s="266"/>
      <c r="O6" s="10"/>
      <c r="P6" s="243"/>
      <c r="Q6" s="243"/>
      <c r="R6" s="243"/>
      <c r="S6" s="10"/>
      <c r="T6" s="243"/>
      <c r="U6" s="243"/>
      <c r="V6" s="243"/>
      <c r="W6" s="10"/>
      <c r="X6" s="243"/>
      <c r="Y6" s="243"/>
      <c r="Z6" s="243"/>
      <c r="AA6" s="10"/>
      <c r="AB6" s="244"/>
      <c r="AC6" s="243"/>
      <c r="AD6" s="10"/>
      <c r="AE6" s="18" t="s">
        <v>79</v>
      </c>
      <c r="AF6" s="18" t="s">
        <v>33</v>
      </c>
      <c r="AG6" s="19" t="s">
        <v>28</v>
      </c>
      <c r="AH6" s="18" t="s">
        <v>35</v>
      </c>
      <c r="AI6" s="18" t="s">
        <v>33</v>
      </c>
      <c r="AJ6" s="19" t="s">
        <v>28</v>
      </c>
      <c r="AK6" s="241"/>
      <c r="AL6" s="11"/>
      <c r="AM6" s="257"/>
      <c r="AN6" s="260"/>
      <c r="AO6" s="266"/>
      <c r="AP6" s="10"/>
      <c r="AQ6" s="11" t="s">
        <v>35</v>
      </c>
      <c r="AR6" s="11" t="s">
        <v>33</v>
      </c>
      <c r="AS6" s="10" t="s">
        <v>28</v>
      </c>
      <c r="AT6" s="11" t="s">
        <v>35</v>
      </c>
      <c r="AU6" s="11" t="s">
        <v>33</v>
      </c>
      <c r="AV6" s="10" t="s">
        <v>28</v>
      </c>
      <c r="AW6" s="241"/>
      <c r="AX6" s="10"/>
      <c r="AY6" s="241"/>
      <c r="AZ6" s="18"/>
      <c r="BA6" s="243"/>
      <c r="BB6" s="10"/>
      <c r="BC6" s="11" t="s">
        <v>80</v>
      </c>
      <c r="BD6" s="11"/>
      <c r="BE6" s="262"/>
      <c r="BF6" s="267"/>
      <c r="BH6" s="241"/>
      <c r="BI6" s="267"/>
      <c r="BK6" s="241"/>
      <c r="BL6" s="267"/>
      <c r="BN6" s="249" t="s">
        <v>81</v>
      </c>
      <c r="BO6" s="249"/>
      <c r="BP6" s="249"/>
      <c r="BQ6" s="249"/>
    </row>
    <row r="7" spans="1:69" x14ac:dyDescent="0.2">
      <c r="A7">
        <v>2021</v>
      </c>
      <c r="B7" s="52">
        <f>+'Grapes Margin - Baseline'!C7</f>
        <v>3000</v>
      </c>
      <c r="C7" s="133">
        <f>IF(Grapes!C9="Tonne",Grapes!E9,Grapes!E9*1000)</f>
        <v>3000</v>
      </c>
      <c r="D7" s="133">
        <f>Grapes!E9</f>
        <v>3000</v>
      </c>
      <c r="F7" s="161">
        <f>Grapes!$D$9</f>
        <v>15.4</v>
      </c>
      <c r="G7" s="188">
        <f>IF(Grapes!C9="Tonne",Grapes!D9,Grapes!D9/1000)</f>
        <v>15.4</v>
      </c>
      <c r="I7" s="20">
        <f t="shared" ref="I7:I41" si="0">+B7*F7</f>
        <v>46200</v>
      </c>
      <c r="J7" s="138">
        <f t="shared" ref="J7:J41" si="1">+C7*F7</f>
        <v>46200</v>
      </c>
      <c r="K7" s="53"/>
      <c r="L7" s="130">
        <f>Grapes!D14</f>
        <v>176</v>
      </c>
      <c r="M7" s="134">
        <f>Grapes!E14</f>
        <v>2.48</v>
      </c>
      <c r="N7" s="187">
        <f>+L7*M7</f>
        <v>436.48</v>
      </c>
      <c r="P7" s="27">
        <f>+'Grapes Margin - Baseline'!O7</f>
        <v>4</v>
      </c>
      <c r="Q7" s="45">
        <f>+'Grapes Margin - Baseline'!P7</f>
        <v>50</v>
      </c>
      <c r="R7" s="6">
        <f>+P7*Q7</f>
        <v>200</v>
      </c>
      <c r="T7" s="27">
        <f>+'Grapes Margin - Baseline'!S7</f>
        <v>2</v>
      </c>
      <c r="U7" s="45">
        <f>+'Grapes Margin - Baseline'!T7</f>
        <v>50</v>
      </c>
      <c r="V7" s="6">
        <f>+T7*U7</f>
        <v>100</v>
      </c>
      <c r="X7" s="44">
        <f>+'Grapes Margin - Baseline'!W7</f>
        <v>8</v>
      </c>
      <c r="Y7" s="45">
        <f>+'Grapes Margin - Baseline'!X7</f>
        <v>150</v>
      </c>
      <c r="Z7" s="21">
        <f>+X7*Y7</f>
        <v>1200</v>
      </c>
      <c r="AB7" s="52">
        <f>+'Grapes Margin - Baseline'!AA7</f>
        <v>70</v>
      </c>
      <c r="AC7" s="6">
        <f t="shared" ref="AC7:AC41" si="2">+AB7*F7</f>
        <v>1078</v>
      </c>
      <c r="AE7" s="52">
        <f>+'Grapes Margin - Baseline'!AD7</f>
        <v>15.4</v>
      </c>
      <c r="AF7" s="52">
        <f>+'Grapes Margin - Baseline'!AE7</f>
        <v>300</v>
      </c>
      <c r="AG7" s="21">
        <f>+AE7*AF7</f>
        <v>4620</v>
      </c>
      <c r="AH7" s="52">
        <f>+'Grapes Margin - Baseline'!AG7</f>
        <v>32</v>
      </c>
      <c r="AI7" s="52">
        <f>+'Grapes Margin - Baseline'!AH7</f>
        <v>75</v>
      </c>
      <c r="AJ7" s="21">
        <f>+AH7*AI7</f>
        <v>2400</v>
      </c>
      <c r="AK7" s="21">
        <f t="shared" ref="AK7:AK41" si="3">+AG7+AJ7</f>
        <v>7020</v>
      </c>
      <c r="AM7" s="161">
        <f>Grapes!D15</f>
        <v>0.5</v>
      </c>
      <c r="AN7" s="130">
        <f>Grapes!E15</f>
        <v>99</v>
      </c>
      <c r="AO7" s="187">
        <f>+AM7*AN7</f>
        <v>49.5</v>
      </c>
      <c r="AQ7" s="52">
        <f>+'Grapes Margin - Baseline'!AP7</f>
        <v>36</v>
      </c>
      <c r="AR7" s="52">
        <f>+'Grapes Margin - Baseline'!AQ7</f>
        <v>22.5</v>
      </c>
      <c r="AS7" s="21">
        <f>+AQ7*AR7</f>
        <v>810</v>
      </c>
      <c r="AT7" s="52">
        <f>+'Grapes Margin - Baseline'!AS7</f>
        <v>60</v>
      </c>
      <c r="AU7" s="52">
        <f>+'Grapes Margin - Baseline'!AT7</f>
        <v>22.5</v>
      </c>
      <c r="AV7" s="21">
        <f>+AT7*AU7</f>
        <v>1350</v>
      </c>
      <c r="AW7" s="21">
        <f>+AS7+AV7</f>
        <v>2160</v>
      </c>
      <c r="AY7" s="52">
        <f>+'Grapes Margin - Baseline'!AX7</f>
        <v>231</v>
      </c>
      <c r="AZ7" s="124">
        <f>+'Grapes Margin - Baseline'!AY7</f>
        <v>22.5</v>
      </c>
      <c r="BA7" s="21">
        <f t="shared" ref="BA7:BA41" si="4">+AY7*AZ7</f>
        <v>5197.5</v>
      </c>
      <c r="BC7" s="6">
        <f>10*F7</f>
        <v>154</v>
      </c>
      <c r="BD7" s="6"/>
      <c r="BE7" s="139" t="str">
        <f>IF(Grapes!$D$17&lt;0,(+N7+R7+V7+Z7+AC7+AK7+AO7+AW7+BA7+BC7)*Grapes!$D$17/100,IF(Grapes!$D$17&gt;0,(+N7+R7+V7+Z7+AC7+AK7+AO7+AW7+BA7+BC7)*Grapes!$D$17/100,""))</f>
        <v/>
      </c>
      <c r="BF7" s="139">
        <f>+N7+R7+V7+Z7+AC7+AK7+AO7+AW7+BA7+BC7+IF(BE7="",0,BE7)</f>
        <v>17595.48</v>
      </c>
      <c r="BH7" s="21">
        <f t="shared" ref="BH7:BH41" si="5">+I7-BF7</f>
        <v>28604.52</v>
      </c>
      <c r="BI7" s="139">
        <f t="shared" ref="BI7:BI41" si="6">J7-BF7</f>
        <v>28604.52</v>
      </c>
      <c r="BK7" s="51">
        <f t="shared" ref="BK7:BK41" si="7">+(N7+R7+V7+Z7+AG7+AJ7+AO7+AS7+AV7+BA7)/(B7-AB7-11)</f>
        <v>5.6058513189448442</v>
      </c>
      <c r="BL7" s="141">
        <f>+(N7+R7+V7+Z7+AG7+AJ7+AO7+AS7+AV7+BA7+IF(BE7="",0,BE7))/(C7-AB7-11)</f>
        <v>5.6058513189448442</v>
      </c>
      <c r="BN7" s="4">
        <f>+'Almonds Margin - Baseline'!BN5</f>
        <v>128.4</v>
      </c>
      <c r="BO7" s="4">
        <f>+'Almonds Margin - Baseline'!BO5</f>
        <v>141.80000000000001</v>
      </c>
      <c r="BP7" s="4">
        <f>+'Almonds Margin - Baseline'!BP5</f>
        <v>125.25</v>
      </c>
      <c r="BQ7" s="4">
        <f>+'Almonds Margin - Baseline'!BQ5</f>
        <v>99.691915734713831</v>
      </c>
    </row>
    <row r="8" spans="1:69" x14ac:dyDescent="0.2">
      <c r="A8" s="8">
        <f t="shared" ref="A8:A41" si="8">+A7+1</f>
        <v>2022</v>
      </c>
      <c r="B8" s="52">
        <f>+'Grapes Margin - Baseline'!C8</f>
        <v>3043.9252336448599</v>
      </c>
      <c r="C8" s="22">
        <f t="shared" ref="C8:C41" si="9">C7*BN8/BN7</f>
        <v>3043.9252336448599</v>
      </c>
      <c r="D8" s="22">
        <f>C8/1000</f>
        <v>3.0439252336448597</v>
      </c>
      <c r="F8" s="161">
        <f>Grapes!$D$9</f>
        <v>15.4</v>
      </c>
      <c r="G8" s="27"/>
      <c r="I8" s="20">
        <f t="shared" si="0"/>
        <v>46876.448598130846</v>
      </c>
      <c r="J8" s="22">
        <f t="shared" si="1"/>
        <v>46876.448598130846</v>
      </c>
      <c r="L8" s="54">
        <f>+L7</f>
        <v>176</v>
      </c>
      <c r="M8" s="14">
        <f t="shared" ref="M8:M41" si="10">+M7*$BQ8/$BQ7</f>
        <v>2.4664727272727269</v>
      </c>
      <c r="N8" s="7">
        <f t="shared" ref="N8:N41" si="11">+L8*M8</f>
        <v>434.09919999999994</v>
      </c>
      <c r="P8" s="15">
        <f>+P7</f>
        <v>4</v>
      </c>
      <c r="Q8" s="7">
        <f t="shared" ref="Q8:Q41" si="12">+Q7*$BQ8/$BQ7</f>
        <v>49.72727272727272</v>
      </c>
      <c r="R8" s="7">
        <f t="shared" ref="R8:R41" si="13">+P8*Q8</f>
        <v>198.90909090909088</v>
      </c>
      <c r="T8" s="15">
        <f>+T7</f>
        <v>2</v>
      </c>
      <c r="U8" s="7">
        <f t="shared" ref="U8:U41" si="14">+U7*$BQ8/$BQ7</f>
        <v>49.72727272727272</v>
      </c>
      <c r="V8" s="7">
        <f t="shared" ref="V8:V41" si="15">+T8*U8</f>
        <v>99.454545454545439</v>
      </c>
      <c r="X8" s="14">
        <f>+X7</f>
        <v>8</v>
      </c>
      <c r="Y8" s="7">
        <f t="shared" ref="Y8:Y41" si="16">+Y7*$BQ8/$BQ7</f>
        <v>149.18181818181816</v>
      </c>
      <c r="Z8" s="22">
        <f t="shared" ref="Z8:Z41" si="17">+X8*Y8</f>
        <v>1193.4545454545453</v>
      </c>
      <c r="AB8" s="7">
        <f t="shared" ref="AB8:AB41" si="18">+AB7*(0.5*$BO8/$BO7+0.5*$BP8/$BP7)</f>
        <v>72.240000000000009</v>
      </c>
      <c r="AC8" s="7">
        <f t="shared" si="2"/>
        <v>1112.4960000000001</v>
      </c>
      <c r="AE8" s="7">
        <f>+AE7</f>
        <v>15.4</v>
      </c>
      <c r="AF8" s="7">
        <f t="shared" ref="AF8:AF41" si="19">+AF7*(0.5*$BO8/$BO7+0.5*$BP8/$BP7)</f>
        <v>309.60000000000002</v>
      </c>
      <c r="AG8" s="22">
        <f t="shared" ref="AG8:AG41" si="20">+AE8*AF8</f>
        <v>4767.84</v>
      </c>
      <c r="AH8" s="7">
        <f>+AH7</f>
        <v>32</v>
      </c>
      <c r="AI8" s="7">
        <f t="shared" ref="AI8:AI41" si="21">+AI7*(0.5*$BO8/$BO7+0.5*$BP8/$BP7)</f>
        <v>77.400000000000006</v>
      </c>
      <c r="AJ8" s="22">
        <f t="shared" ref="AJ8:AJ41" si="22">+AH8*AI8</f>
        <v>2476.8000000000002</v>
      </c>
      <c r="AK8" s="22">
        <f t="shared" si="3"/>
        <v>7244.64</v>
      </c>
      <c r="AM8" s="15">
        <f>+AM7</f>
        <v>0.5</v>
      </c>
      <c r="AN8" s="7">
        <f t="shared" ref="AN8:AN41" si="23">+AN7*BN8/BN7</f>
        <v>100.44953271028037</v>
      </c>
      <c r="AO8" s="7">
        <f t="shared" ref="AO8:AO41" si="24">+AM8*AN8</f>
        <v>50.224766355140183</v>
      </c>
      <c r="AQ8" s="7">
        <f>+AQ7</f>
        <v>36</v>
      </c>
      <c r="AR8" s="7">
        <f t="shared" ref="AR8:AR41" si="25">+AR7*$BO8/$BO7</f>
        <v>23.22</v>
      </c>
      <c r="AS8" s="22">
        <f t="shared" ref="AS8:AS41" si="26">+AQ8*AR8</f>
        <v>835.92</v>
      </c>
      <c r="AT8" s="7">
        <f>+AT7</f>
        <v>60</v>
      </c>
      <c r="AU8" s="7">
        <f t="shared" ref="AU8:AU41" si="27">+AU7*$BO8/$BO7</f>
        <v>23.22</v>
      </c>
      <c r="AV8" s="22">
        <f t="shared" ref="AV8:AV41" si="28">+AT8*AU8</f>
        <v>1393.1999999999998</v>
      </c>
      <c r="AW8" s="22">
        <f t="shared" ref="AW8:AW41" si="29">+AS8+AV8</f>
        <v>2229.12</v>
      </c>
      <c r="AY8" s="7">
        <f>+AY7</f>
        <v>231</v>
      </c>
      <c r="AZ8" s="7">
        <f t="shared" ref="AZ8:AZ41" si="30">+AZ7*$BO8/$BO7</f>
        <v>23.22</v>
      </c>
      <c r="BA8" s="22">
        <f t="shared" si="4"/>
        <v>5363.82</v>
      </c>
      <c r="BC8" s="7">
        <f>10*F8</f>
        <v>154</v>
      </c>
      <c r="BD8" s="7"/>
      <c r="BE8" s="21" t="str">
        <f>IF(Grapes!$D$17&lt;0,(+N8+R8+V8+Z8+AC8+AK8+AO8+AW8+BA8+BC8)*Grapes!$D$17/100,IF(Grapes!$D$17&gt;0,(+N8+R8+V8+Z8+AC8+AK8+AO8+AW8+BA8+BC8)*Grapes!$D$17/100,""))</f>
        <v/>
      </c>
      <c r="BF8" s="22">
        <f t="shared" ref="BF8:BF41" si="31">+N8+R8+V8+Z8+AC8+AK8+AO8+AW8+BA8+BC8+IF(BE8="",0,BE8)</f>
        <v>18080.218148173324</v>
      </c>
      <c r="BH8" s="21">
        <f t="shared" si="5"/>
        <v>28796.230449957522</v>
      </c>
      <c r="BI8" s="21">
        <f t="shared" si="6"/>
        <v>28796.230449957522</v>
      </c>
      <c r="BK8" s="51">
        <f t="shared" si="7"/>
        <v>5.6789968609645722</v>
      </c>
      <c r="BL8" s="51">
        <f t="shared" ref="BL8:BL41" si="32">+(N8+R8+V8+Z8+AG8+AJ8+AO8+AS8+AV8+BA8)/(C8-AB8-11)</f>
        <v>5.6789968609645722</v>
      </c>
      <c r="BN8" s="7">
        <f>+'Almonds Margin - Baseline'!BN6</f>
        <v>130.28</v>
      </c>
      <c r="BO8" s="7">
        <f>+'Almonds Margin - Baseline'!BO6</f>
        <v>146.33760000000001</v>
      </c>
      <c r="BP8" s="7">
        <f>+'Almonds Margin - Baseline'!BP6</f>
        <v>129.25800000000001</v>
      </c>
      <c r="BQ8" s="7">
        <f>+'Almonds Margin - Baseline'!BQ6</f>
        <v>99.1481416488881</v>
      </c>
    </row>
    <row r="9" spans="1:69" x14ac:dyDescent="0.2">
      <c r="A9" s="8">
        <f t="shared" si="8"/>
        <v>2023</v>
      </c>
      <c r="B9" s="52">
        <f>+'Grapes Margin - Baseline'!C9</f>
        <v>3150.467289719626</v>
      </c>
      <c r="C9" s="22">
        <f t="shared" si="9"/>
        <v>3150.467289719626</v>
      </c>
      <c r="D9" s="22"/>
      <c r="F9" s="161">
        <f>Grapes!$D$9</f>
        <v>15.4</v>
      </c>
      <c r="G9" s="27"/>
      <c r="I9" s="20">
        <f t="shared" si="0"/>
        <v>48517.196261682242</v>
      </c>
      <c r="J9" s="22">
        <f t="shared" si="1"/>
        <v>48517.196261682242</v>
      </c>
      <c r="L9" s="54">
        <f t="shared" ref="L9:L41" si="33">+L8</f>
        <v>176</v>
      </c>
      <c r="M9" s="14">
        <f t="shared" si="10"/>
        <v>2.493860086775288</v>
      </c>
      <c r="N9" s="7">
        <f t="shared" si="11"/>
        <v>438.91937527245068</v>
      </c>
      <c r="P9" s="15">
        <f t="shared" ref="P9:P41" si="34">+P8</f>
        <v>4</v>
      </c>
      <c r="Q9" s="7">
        <f t="shared" si="12"/>
        <v>50.279437233372747</v>
      </c>
      <c r="R9" s="7">
        <f t="shared" si="13"/>
        <v>201.11774893349099</v>
      </c>
      <c r="T9" s="15">
        <f t="shared" ref="T9:T41" si="35">+T8</f>
        <v>2</v>
      </c>
      <c r="U9" s="7">
        <f t="shared" si="14"/>
        <v>50.279437233372747</v>
      </c>
      <c r="V9" s="7">
        <f t="shared" si="15"/>
        <v>100.55887446674549</v>
      </c>
      <c r="X9" s="14">
        <f t="shared" ref="X9:X41" si="36">+X8</f>
        <v>8</v>
      </c>
      <c r="Y9" s="7">
        <f t="shared" si="16"/>
        <v>150.83831170011823</v>
      </c>
      <c r="Z9" s="22">
        <f t="shared" si="17"/>
        <v>1206.7064936009458</v>
      </c>
      <c r="AB9" s="7">
        <f t="shared" si="18"/>
        <v>74.551680000000005</v>
      </c>
      <c r="AC9" s="7">
        <f t="shared" si="2"/>
        <v>1148.0958720000001</v>
      </c>
      <c r="AE9" s="7">
        <f t="shared" ref="AE9:AE41" si="37">+AE8</f>
        <v>15.4</v>
      </c>
      <c r="AF9" s="7">
        <f t="shared" si="19"/>
        <v>319.50720000000001</v>
      </c>
      <c r="AG9" s="22">
        <f t="shared" si="20"/>
        <v>4920.4108800000004</v>
      </c>
      <c r="AH9" s="7">
        <f t="shared" ref="AH9:AH41" si="38">+AH8</f>
        <v>32</v>
      </c>
      <c r="AI9" s="7">
        <f t="shared" si="21"/>
        <v>79.876800000000003</v>
      </c>
      <c r="AJ9" s="22">
        <f t="shared" si="22"/>
        <v>2556.0576000000001</v>
      </c>
      <c r="AK9" s="22">
        <f t="shared" si="3"/>
        <v>7476.4684800000005</v>
      </c>
      <c r="AM9" s="15">
        <f t="shared" ref="AM9:AM41" si="39">+AM8</f>
        <v>0.5</v>
      </c>
      <c r="AN9" s="7">
        <f t="shared" si="23"/>
        <v>103.96542056074766</v>
      </c>
      <c r="AO9" s="7">
        <f t="shared" si="24"/>
        <v>51.98271028037383</v>
      </c>
      <c r="AQ9" s="7">
        <f t="shared" ref="AQ9:AQ41" si="40">+AQ8</f>
        <v>36</v>
      </c>
      <c r="AR9" s="7">
        <f t="shared" si="25"/>
        <v>23.963039999999996</v>
      </c>
      <c r="AS9" s="22">
        <f t="shared" si="26"/>
        <v>862.6694399999999</v>
      </c>
      <c r="AT9" s="7">
        <f t="shared" ref="AT9:AT41" si="41">+AT8</f>
        <v>60</v>
      </c>
      <c r="AU9" s="7">
        <f t="shared" si="27"/>
        <v>23.963039999999996</v>
      </c>
      <c r="AV9" s="22">
        <f t="shared" si="28"/>
        <v>1437.7823999999998</v>
      </c>
      <c r="AW9" s="22">
        <f t="shared" si="29"/>
        <v>2300.4518399999997</v>
      </c>
      <c r="AY9" s="7">
        <f t="shared" ref="AY9:AY41" si="42">+AY8</f>
        <v>231</v>
      </c>
      <c r="AZ9" s="7">
        <f t="shared" si="30"/>
        <v>23.963039999999996</v>
      </c>
      <c r="BA9" s="22">
        <f t="shared" si="4"/>
        <v>5535.4622399999989</v>
      </c>
      <c r="BC9" s="7">
        <f t="shared" ref="BC9:BC41" si="43">10*F9</f>
        <v>154</v>
      </c>
      <c r="BD9" s="7"/>
      <c r="BE9" s="21" t="str">
        <f>IF(Grapes!$D$17&lt;0,(+N9+R9+V9+Z9+AC9+AK9+AO9+AW9+BA9+BC9)*Grapes!$D$17/100,IF(Grapes!$D$17&gt;0,(+N9+R9+V9+Z9+AC9+AK9+AO9+AW9+BA9+BC9)*Grapes!$D$17/100,""))</f>
        <v/>
      </c>
      <c r="BF9" s="22">
        <f t="shared" si="31"/>
        <v>18613.763634554009</v>
      </c>
      <c r="BH9" s="21">
        <f t="shared" si="5"/>
        <v>29903.432627128233</v>
      </c>
      <c r="BI9" s="21">
        <f t="shared" si="6"/>
        <v>29903.432627128233</v>
      </c>
      <c r="BK9" s="51">
        <f t="shared" si="7"/>
        <v>5.6483342339522524</v>
      </c>
      <c r="BL9" s="51">
        <f t="shared" si="32"/>
        <v>5.6483342339522524</v>
      </c>
      <c r="BN9" s="7">
        <f>+'Almonds Margin - Baseline'!BN7</f>
        <v>134.84</v>
      </c>
      <c r="BO9" s="7">
        <f>+'Almonds Margin - Baseline'!BO7</f>
        <v>151.0204032</v>
      </c>
      <c r="BP9" s="7">
        <f>+'Almonds Margin - Baseline'!BP7</f>
        <v>133.39425600000001</v>
      </c>
      <c r="BQ9" s="7">
        <f>+'Almonds Margin - Baseline'!BQ7</f>
        <v>100.24906839716456</v>
      </c>
    </row>
    <row r="10" spans="1:69" x14ac:dyDescent="0.2">
      <c r="A10" s="8">
        <f t="shared" si="8"/>
        <v>2024</v>
      </c>
      <c r="B10" s="52">
        <f>+'Grapes Margin - Baseline'!C10</f>
        <v>3229.2056074766356</v>
      </c>
      <c r="C10" s="22">
        <f t="shared" si="9"/>
        <v>3229.2056074766356</v>
      </c>
      <c r="D10" s="22"/>
      <c r="F10" s="161">
        <f>Grapes!$D$9</f>
        <v>15.4</v>
      </c>
      <c r="G10" s="27"/>
      <c r="I10" s="20">
        <f t="shared" si="0"/>
        <v>49729.766355140186</v>
      </c>
      <c r="J10" s="22">
        <f t="shared" si="1"/>
        <v>49729.766355140186</v>
      </c>
      <c r="L10" s="54">
        <f t="shared" si="33"/>
        <v>176</v>
      </c>
      <c r="M10" s="14">
        <f t="shared" si="10"/>
        <v>2.5685656736290903</v>
      </c>
      <c r="N10" s="7">
        <f t="shared" si="11"/>
        <v>452.0675585587199</v>
      </c>
      <c r="P10" s="15">
        <f t="shared" si="34"/>
        <v>4</v>
      </c>
      <c r="Q10" s="7">
        <f t="shared" si="12"/>
        <v>51.785598258651014</v>
      </c>
      <c r="R10" s="7">
        <f t="shared" si="13"/>
        <v>207.14239303460405</v>
      </c>
      <c r="T10" s="15">
        <f t="shared" si="35"/>
        <v>2</v>
      </c>
      <c r="U10" s="7">
        <f t="shared" si="14"/>
        <v>51.785598258651014</v>
      </c>
      <c r="V10" s="7">
        <f t="shared" si="15"/>
        <v>103.57119651730203</v>
      </c>
      <c r="X10" s="14">
        <f t="shared" si="36"/>
        <v>8</v>
      </c>
      <c r="Y10" s="7">
        <f t="shared" si="16"/>
        <v>155.35679477595303</v>
      </c>
      <c r="Z10" s="22">
        <f t="shared" si="17"/>
        <v>1242.8543582076243</v>
      </c>
      <c r="AB10" s="7">
        <f t="shared" si="18"/>
        <v>76.937333760000001</v>
      </c>
      <c r="AC10" s="7">
        <f t="shared" si="2"/>
        <v>1184.8349399040001</v>
      </c>
      <c r="AE10" s="7">
        <f t="shared" si="37"/>
        <v>15.4</v>
      </c>
      <c r="AF10" s="7">
        <f t="shared" si="19"/>
        <v>329.73143040000002</v>
      </c>
      <c r="AG10" s="22">
        <f t="shared" si="20"/>
        <v>5077.8640281600001</v>
      </c>
      <c r="AH10" s="7">
        <f t="shared" si="38"/>
        <v>32</v>
      </c>
      <c r="AI10" s="7">
        <f t="shared" si="21"/>
        <v>82.432857600000006</v>
      </c>
      <c r="AJ10" s="22">
        <f t="shared" si="22"/>
        <v>2637.8514432000002</v>
      </c>
      <c r="AK10" s="22">
        <f t="shared" si="3"/>
        <v>7715.7154713600003</v>
      </c>
      <c r="AM10" s="15">
        <f t="shared" si="39"/>
        <v>0.5</v>
      </c>
      <c r="AN10" s="7">
        <f t="shared" si="23"/>
        <v>106.56378504672897</v>
      </c>
      <c r="AO10" s="7">
        <f t="shared" si="24"/>
        <v>53.281892523364483</v>
      </c>
      <c r="AQ10" s="7">
        <f t="shared" si="40"/>
        <v>36</v>
      </c>
      <c r="AR10" s="7">
        <f t="shared" si="25"/>
        <v>24.729857279999997</v>
      </c>
      <c r="AS10" s="22">
        <f t="shared" si="26"/>
        <v>890.27486207999993</v>
      </c>
      <c r="AT10" s="7">
        <f t="shared" si="41"/>
        <v>60</v>
      </c>
      <c r="AU10" s="7">
        <f t="shared" si="27"/>
        <v>24.729857279999997</v>
      </c>
      <c r="AV10" s="22">
        <f t="shared" si="28"/>
        <v>1483.7914367999999</v>
      </c>
      <c r="AW10" s="22">
        <f t="shared" si="29"/>
        <v>2374.06629888</v>
      </c>
      <c r="AY10" s="7">
        <f t="shared" si="42"/>
        <v>231</v>
      </c>
      <c r="AZ10" s="7">
        <f t="shared" si="30"/>
        <v>24.729857279999997</v>
      </c>
      <c r="BA10" s="22">
        <f t="shared" si="4"/>
        <v>5712.5970316799994</v>
      </c>
      <c r="BC10" s="7">
        <f t="shared" si="43"/>
        <v>154</v>
      </c>
      <c r="BD10" s="7"/>
      <c r="BE10" s="21" t="str">
        <f>IF(Grapes!$D$17&lt;0,(+N10+R10+V10+Z10+AC10+AK10+AO10+AW10+BA10+BC10)*Grapes!$D$17/100,IF(Grapes!$D$17&gt;0,(+N10+R10+V10+Z10+AC10+AK10+AO10+AW10+BA10+BC10)*Grapes!$D$17/100,""))</f>
        <v/>
      </c>
      <c r="BF10" s="22">
        <f t="shared" si="31"/>
        <v>19200.131140665613</v>
      </c>
      <c r="BH10" s="21">
        <f t="shared" si="5"/>
        <v>30529.635214474572</v>
      </c>
      <c r="BI10" s="21">
        <f t="shared" si="6"/>
        <v>30529.635214474572</v>
      </c>
      <c r="BK10" s="51">
        <f t="shared" si="7"/>
        <v>5.6860142606122501</v>
      </c>
      <c r="BL10" s="51">
        <f t="shared" si="32"/>
        <v>5.6860142606122501</v>
      </c>
      <c r="BN10" s="7">
        <f>+'Almonds Margin - Baseline'!BN8</f>
        <v>138.21</v>
      </c>
      <c r="BO10" s="7">
        <f>+'Almonds Margin - Baseline'!BO8</f>
        <v>155.85305610240002</v>
      </c>
      <c r="BP10" s="7">
        <f>+'Almonds Margin - Baseline'!BP8</f>
        <v>137.66287219200001</v>
      </c>
      <c r="BQ10" s="7">
        <f>+'Almonds Margin - Baseline'!BQ8</f>
        <v>103.25210995746359</v>
      </c>
    </row>
    <row r="11" spans="1:69" x14ac:dyDescent="0.2">
      <c r="A11" s="8">
        <f t="shared" si="8"/>
        <v>2025</v>
      </c>
      <c r="B11" s="52">
        <f>+'Grapes Margin - Baseline'!C11</f>
        <v>3332.5401869158877</v>
      </c>
      <c r="C11" s="22">
        <f t="shared" si="9"/>
        <v>3332.5401869158877</v>
      </c>
      <c r="D11" s="22"/>
      <c r="F11" s="161">
        <f>Grapes!$D$9</f>
        <v>15.4</v>
      </c>
      <c r="G11" s="27"/>
      <c r="I11" s="20">
        <f t="shared" si="0"/>
        <v>51321.118878504669</v>
      </c>
      <c r="J11" s="22">
        <f t="shared" si="1"/>
        <v>51321.118878504669</v>
      </c>
      <c r="L11" s="54">
        <f t="shared" si="33"/>
        <v>176</v>
      </c>
      <c r="M11" s="14">
        <f t="shared" si="10"/>
        <v>2.6331661645285931</v>
      </c>
      <c r="N11" s="7">
        <f t="shared" si="11"/>
        <v>463.43724495703236</v>
      </c>
      <c r="P11" s="15">
        <f t="shared" si="34"/>
        <v>4</v>
      </c>
      <c r="Q11" s="7">
        <f t="shared" si="12"/>
        <v>53.08802751065712</v>
      </c>
      <c r="R11" s="7">
        <f t="shared" si="13"/>
        <v>212.35211004262848</v>
      </c>
      <c r="T11" s="15">
        <f t="shared" si="35"/>
        <v>2</v>
      </c>
      <c r="U11" s="7">
        <f t="shared" si="14"/>
        <v>53.08802751065712</v>
      </c>
      <c r="V11" s="7">
        <f t="shared" si="15"/>
        <v>106.17605502131424</v>
      </c>
      <c r="X11" s="14">
        <f t="shared" si="36"/>
        <v>8</v>
      </c>
      <c r="Y11" s="7">
        <f t="shared" si="16"/>
        <v>159.26408253197138</v>
      </c>
      <c r="Z11" s="22">
        <f t="shared" si="17"/>
        <v>1274.1126602557711</v>
      </c>
      <c r="AB11" s="7">
        <f t="shared" si="18"/>
        <v>79.399328440320005</v>
      </c>
      <c r="AC11" s="7">
        <f t="shared" si="2"/>
        <v>1222.7496579809281</v>
      </c>
      <c r="AE11" s="7">
        <f t="shared" si="37"/>
        <v>15.4</v>
      </c>
      <c r="AF11" s="7">
        <f t="shared" si="19"/>
        <v>340.28283617280005</v>
      </c>
      <c r="AG11" s="22">
        <f t="shared" si="20"/>
        <v>5240.3556770611212</v>
      </c>
      <c r="AH11" s="7">
        <f t="shared" si="38"/>
        <v>32</v>
      </c>
      <c r="AI11" s="7">
        <f t="shared" si="21"/>
        <v>85.070709043200011</v>
      </c>
      <c r="AJ11" s="22">
        <f t="shared" si="22"/>
        <v>2722.2626893824004</v>
      </c>
      <c r="AK11" s="22">
        <f t="shared" si="3"/>
        <v>7962.6183664435212</v>
      </c>
      <c r="AM11" s="15">
        <f t="shared" si="39"/>
        <v>0.5</v>
      </c>
      <c r="AN11" s="7">
        <f t="shared" si="23"/>
        <v>109.97382616822429</v>
      </c>
      <c r="AO11" s="7">
        <f t="shared" si="24"/>
        <v>54.986913084112146</v>
      </c>
      <c r="AQ11" s="7">
        <f t="shared" si="40"/>
        <v>36</v>
      </c>
      <c r="AR11" s="7">
        <f t="shared" si="25"/>
        <v>25.521212712959993</v>
      </c>
      <c r="AS11" s="22">
        <f t="shared" si="26"/>
        <v>918.76365766655977</v>
      </c>
      <c r="AT11" s="7">
        <f t="shared" si="41"/>
        <v>60</v>
      </c>
      <c r="AU11" s="7">
        <f t="shared" si="27"/>
        <v>25.521212712959993</v>
      </c>
      <c r="AV11" s="22">
        <f t="shared" si="28"/>
        <v>1531.2727627775996</v>
      </c>
      <c r="AW11" s="22">
        <f t="shared" si="29"/>
        <v>2450.0364204441594</v>
      </c>
      <c r="AY11" s="7">
        <f t="shared" si="42"/>
        <v>231</v>
      </c>
      <c r="AZ11" s="7">
        <f t="shared" si="30"/>
        <v>25.521212712959993</v>
      </c>
      <c r="BA11" s="22">
        <f t="shared" si="4"/>
        <v>5895.4001366937582</v>
      </c>
      <c r="BC11" s="7">
        <f t="shared" si="43"/>
        <v>154</v>
      </c>
      <c r="BD11" s="7"/>
      <c r="BE11" s="21" t="str">
        <f>IF(Grapes!$D$17&lt;0,(+N11+R11+V11+Z11+AC11+AK11+AO11+AW11+BA11+BC11)*Grapes!$D$17/100,IF(Grapes!$D$17&gt;0,(+N11+R11+V11+Z11+AC11+AK11+AO11+AW11+BA11+BC11)*Grapes!$D$17/100,""))</f>
        <v/>
      </c>
      <c r="BF11" s="22">
        <f t="shared" si="31"/>
        <v>19795.869564923225</v>
      </c>
      <c r="BH11" s="21">
        <f t="shared" si="5"/>
        <v>31525.249313581444</v>
      </c>
      <c r="BI11" s="21">
        <f t="shared" si="6"/>
        <v>31525.249313581444</v>
      </c>
      <c r="BK11" s="51">
        <f t="shared" si="7"/>
        <v>5.6811596753395968</v>
      </c>
      <c r="BL11" s="51">
        <f t="shared" si="32"/>
        <v>5.6811596753395968</v>
      </c>
      <c r="BN11" s="7">
        <f>+'Almonds Margin - Baseline'!BN9</f>
        <v>142.63272000000001</v>
      </c>
      <c r="BO11" s="7">
        <f>+'Almonds Margin - Baseline'!BO9</f>
        <v>160.84035389767681</v>
      </c>
      <c r="BP11" s="7">
        <f>+'Almonds Margin - Baseline'!BP9</f>
        <v>142.06808410214401</v>
      </c>
      <c r="BQ11" s="7">
        <f>+'Almonds Margin - Baseline'!BQ9</f>
        <v>105.84894330229197</v>
      </c>
    </row>
    <row r="12" spans="1:69" x14ac:dyDescent="0.2">
      <c r="A12" s="8">
        <f t="shared" si="8"/>
        <v>2026</v>
      </c>
      <c r="B12" s="52">
        <f>+'Grapes Margin - Baseline'!C12</f>
        <v>3439.1814728971958</v>
      </c>
      <c r="C12" s="22">
        <f t="shared" si="9"/>
        <v>3439.1814728971958</v>
      </c>
      <c r="D12" s="22"/>
      <c r="F12" s="161">
        <f>Grapes!$D$9</f>
        <v>15.4</v>
      </c>
      <c r="G12" s="27"/>
      <c r="I12" s="20">
        <f t="shared" si="0"/>
        <v>52963.394682616818</v>
      </c>
      <c r="J12" s="22">
        <f t="shared" si="1"/>
        <v>52963.394682616818</v>
      </c>
      <c r="L12" s="54">
        <f t="shared" si="33"/>
        <v>176</v>
      </c>
      <c r="M12" s="14">
        <f t="shared" si="10"/>
        <v>2.7438939519040857</v>
      </c>
      <c r="N12" s="7">
        <f t="shared" si="11"/>
        <v>482.92533553511907</v>
      </c>
      <c r="P12" s="15">
        <f t="shared" si="34"/>
        <v>4</v>
      </c>
      <c r="Q12" s="7">
        <f t="shared" si="12"/>
        <v>55.320442578711408</v>
      </c>
      <c r="R12" s="7">
        <f t="shared" si="13"/>
        <v>221.28177031484563</v>
      </c>
      <c r="T12" s="15">
        <f t="shared" si="35"/>
        <v>2</v>
      </c>
      <c r="U12" s="7">
        <f t="shared" si="14"/>
        <v>55.320442578711408</v>
      </c>
      <c r="V12" s="7">
        <f t="shared" si="15"/>
        <v>110.64088515742282</v>
      </c>
      <c r="X12" s="14">
        <f t="shared" si="36"/>
        <v>8</v>
      </c>
      <c r="Y12" s="7">
        <f t="shared" si="16"/>
        <v>165.96132773613425</v>
      </c>
      <c r="Z12" s="22">
        <f t="shared" si="17"/>
        <v>1327.690621889074</v>
      </c>
      <c r="AB12" s="7">
        <f t="shared" si="18"/>
        <v>81.940106950410254</v>
      </c>
      <c r="AC12" s="7">
        <f t="shared" si="2"/>
        <v>1261.877647036318</v>
      </c>
      <c r="AE12" s="7">
        <f t="shared" si="37"/>
        <v>15.4</v>
      </c>
      <c r="AF12" s="7">
        <f t="shared" si="19"/>
        <v>351.17188693032966</v>
      </c>
      <c r="AG12" s="22">
        <f t="shared" si="20"/>
        <v>5408.0470587270765</v>
      </c>
      <c r="AH12" s="7">
        <f t="shared" si="38"/>
        <v>32</v>
      </c>
      <c r="AI12" s="7">
        <f t="shared" si="21"/>
        <v>87.792971732582416</v>
      </c>
      <c r="AJ12" s="22">
        <f t="shared" si="22"/>
        <v>2809.3750954426373</v>
      </c>
      <c r="AK12" s="22">
        <f t="shared" si="3"/>
        <v>8217.4221541697134</v>
      </c>
      <c r="AM12" s="15">
        <f t="shared" si="39"/>
        <v>0.5</v>
      </c>
      <c r="AN12" s="7">
        <f t="shared" si="23"/>
        <v>113.49298860560747</v>
      </c>
      <c r="AO12" s="7">
        <f t="shared" si="24"/>
        <v>56.746494302803733</v>
      </c>
      <c r="AQ12" s="7">
        <f t="shared" si="40"/>
        <v>36</v>
      </c>
      <c r="AR12" s="7">
        <f t="shared" si="25"/>
        <v>26.337891519774711</v>
      </c>
      <c r="AS12" s="22">
        <f t="shared" si="26"/>
        <v>948.16409471188956</v>
      </c>
      <c r="AT12" s="7">
        <f t="shared" si="41"/>
        <v>60</v>
      </c>
      <c r="AU12" s="7">
        <f t="shared" si="27"/>
        <v>26.337891519774711</v>
      </c>
      <c r="AV12" s="22">
        <f t="shared" si="28"/>
        <v>1580.2734911864827</v>
      </c>
      <c r="AW12" s="22">
        <f t="shared" si="29"/>
        <v>2528.4375858983722</v>
      </c>
      <c r="AY12" s="7">
        <f t="shared" si="42"/>
        <v>231</v>
      </c>
      <c r="AZ12" s="7">
        <f t="shared" si="30"/>
        <v>26.337891519774711</v>
      </c>
      <c r="BA12" s="22">
        <f t="shared" si="4"/>
        <v>6084.0529410679583</v>
      </c>
      <c r="BC12" s="7">
        <f t="shared" si="43"/>
        <v>154</v>
      </c>
      <c r="BD12" s="7"/>
      <c r="BE12" s="21" t="str">
        <f>IF(Grapes!$D$17&lt;0,(+N12+R12+V12+Z12+AC12+AK12+AO12+AW12+BA12+BC12)*Grapes!$D$17/100,IF(Grapes!$D$17&gt;0,(+N12+R12+V12+Z12+AC12+AK12+AO12+AW12+BA12+BC12)*Grapes!$D$17/100,""))</f>
        <v/>
      </c>
      <c r="BF12" s="22">
        <f t="shared" si="31"/>
        <v>20445.075435371629</v>
      </c>
      <c r="BH12" s="21">
        <f t="shared" si="5"/>
        <v>32518.319247245188</v>
      </c>
      <c r="BI12" s="21">
        <f t="shared" si="6"/>
        <v>32518.319247245188</v>
      </c>
      <c r="BK12" s="51">
        <f t="shared" si="7"/>
        <v>5.6867379567974439</v>
      </c>
      <c r="BL12" s="51">
        <f t="shared" si="32"/>
        <v>5.6867379567974439</v>
      </c>
      <c r="BN12" s="7">
        <f>+'Almonds Margin - Baseline'!BN10</f>
        <v>147.19696704</v>
      </c>
      <c r="BO12" s="7">
        <f>+'Almonds Margin - Baseline'!BO10</f>
        <v>165.98724522240246</v>
      </c>
      <c r="BP12" s="7">
        <f>+'Almonds Margin - Baseline'!BP10</f>
        <v>146.61426279341262</v>
      </c>
      <c r="BQ12" s="7">
        <f>+'Almonds Margin - Baseline'!BQ10</f>
        <v>110.30001799927945</v>
      </c>
    </row>
    <row r="13" spans="1:69" x14ac:dyDescent="0.2">
      <c r="A13" s="8">
        <f t="shared" si="8"/>
        <v>2027</v>
      </c>
      <c r="B13" s="52">
        <f>+'Grapes Margin - Baseline'!C13</f>
        <v>3549.2352800299059</v>
      </c>
      <c r="C13" s="22">
        <f t="shared" si="9"/>
        <v>3549.2352800299059</v>
      </c>
      <c r="D13" s="22"/>
      <c r="F13" s="161">
        <f>Grapes!$D$9</f>
        <v>15.4</v>
      </c>
      <c r="G13" s="27"/>
      <c r="I13" s="20">
        <f t="shared" si="0"/>
        <v>54658.223312460548</v>
      </c>
      <c r="J13" s="22">
        <f t="shared" si="1"/>
        <v>54658.223312460548</v>
      </c>
      <c r="L13" s="54">
        <f t="shared" si="33"/>
        <v>176</v>
      </c>
      <c r="M13" s="14">
        <f t="shared" si="10"/>
        <v>2.8592528979067744</v>
      </c>
      <c r="N13" s="7">
        <f t="shared" si="11"/>
        <v>503.22851003159229</v>
      </c>
      <c r="P13" s="15">
        <f t="shared" si="34"/>
        <v>4</v>
      </c>
      <c r="Q13" s="7">
        <f t="shared" si="12"/>
        <v>57.646227780378517</v>
      </c>
      <c r="R13" s="7">
        <f t="shared" si="13"/>
        <v>230.58491112151407</v>
      </c>
      <c r="T13" s="15">
        <f t="shared" si="35"/>
        <v>2</v>
      </c>
      <c r="U13" s="7">
        <f t="shared" si="14"/>
        <v>57.646227780378517</v>
      </c>
      <c r="V13" s="7">
        <f t="shared" si="15"/>
        <v>115.29245556075703</v>
      </c>
      <c r="X13" s="14">
        <f t="shared" si="36"/>
        <v>8</v>
      </c>
      <c r="Y13" s="7">
        <f t="shared" si="16"/>
        <v>172.9386833411356</v>
      </c>
      <c r="Z13" s="22">
        <f t="shared" si="17"/>
        <v>1383.5094667290848</v>
      </c>
      <c r="AB13" s="7">
        <f t="shared" si="18"/>
        <v>84.56219037282338</v>
      </c>
      <c r="AC13" s="7">
        <f t="shared" si="2"/>
        <v>1302.25773174148</v>
      </c>
      <c r="AE13" s="7">
        <f t="shared" si="37"/>
        <v>15.4</v>
      </c>
      <c r="AF13" s="7">
        <f t="shared" si="19"/>
        <v>362.40938731210025</v>
      </c>
      <c r="AG13" s="22">
        <f t="shared" si="20"/>
        <v>5581.104564606344</v>
      </c>
      <c r="AH13" s="7">
        <f t="shared" si="38"/>
        <v>32</v>
      </c>
      <c r="AI13" s="7">
        <f t="shared" si="21"/>
        <v>90.602346828025063</v>
      </c>
      <c r="AJ13" s="22">
        <f t="shared" si="22"/>
        <v>2899.275098496802</v>
      </c>
      <c r="AK13" s="22">
        <f t="shared" si="3"/>
        <v>8480.3796631031455</v>
      </c>
      <c r="AM13" s="15">
        <f t="shared" si="39"/>
        <v>0.5</v>
      </c>
      <c r="AN13" s="7">
        <f t="shared" si="23"/>
        <v>117.12476424098692</v>
      </c>
      <c r="AO13" s="7">
        <f t="shared" si="24"/>
        <v>58.56238212049346</v>
      </c>
      <c r="AQ13" s="7">
        <f t="shared" si="40"/>
        <v>36</v>
      </c>
      <c r="AR13" s="7">
        <f t="shared" si="25"/>
        <v>27.180704048407499</v>
      </c>
      <c r="AS13" s="22">
        <f t="shared" si="26"/>
        <v>978.50534574266999</v>
      </c>
      <c r="AT13" s="7">
        <f t="shared" si="41"/>
        <v>60</v>
      </c>
      <c r="AU13" s="7">
        <f t="shared" si="27"/>
        <v>27.180704048407499</v>
      </c>
      <c r="AV13" s="22">
        <f t="shared" si="28"/>
        <v>1630.8422429044499</v>
      </c>
      <c r="AW13" s="22">
        <f t="shared" si="29"/>
        <v>2609.3475886471197</v>
      </c>
      <c r="AY13" s="7">
        <f t="shared" si="42"/>
        <v>231</v>
      </c>
      <c r="AZ13" s="7">
        <f t="shared" si="30"/>
        <v>27.180704048407499</v>
      </c>
      <c r="BA13" s="22">
        <f t="shared" si="4"/>
        <v>6278.7426351821323</v>
      </c>
      <c r="BC13" s="7">
        <f t="shared" si="43"/>
        <v>154</v>
      </c>
      <c r="BD13" s="7"/>
      <c r="BE13" s="21" t="str">
        <f>IF(Grapes!$D$17&lt;0,(+N13+R13+V13+Z13+AC13+AK13+AO13+AW13+BA13+BC13)*Grapes!$D$17/100,IF(Grapes!$D$17&gt;0,(+N13+R13+V13+Z13+AC13+AK13+AO13+AW13+BA13+BC13)*Grapes!$D$17/100,""))</f>
        <v/>
      </c>
      <c r="BF13" s="22">
        <f t="shared" si="31"/>
        <v>21115.905344237319</v>
      </c>
      <c r="BH13" s="21">
        <f t="shared" si="5"/>
        <v>33542.317968223229</v>
      </c>
      <c r="BI13" s="21">
        <f t="shared" si="6"/>
        <v>33542.317968223229</v>
      </c>
      <c r="BK13" s="51">
        <f t="shared" si="7"/>
        <v>5.6923881045289839</v>
      </c>
      <c r="BL13" s="51">
        <f t="shared" si="32"/>
        <v>5.6923881045289839</v>
      </c>
      <c r="BN13" s="7">
        <f>+'Almonds Margin - Baseline'!BN11</f>
        <v>151.90726998528001</v>
      </c>
      <c r="BO13" s="7">
        <f>+'Almonds Margin - Baseline'!BO11</f>
        <v>171.29883706951935</v>
      </c>
      <c r="BP13" s="7">
        <f>+'Almonds Margin - Baseline'!BP11</f>
        <v>151.30591920280182</v>
      </c>
      <c r="BQ13" s="7">
        <f>+'Almonds Margin - Baseline'!BQ11</f>
        <v>114.93725764611229</v>
      </c>
    </row>
    <row r="14" spans="1:69" x14ac:dyDescent="0.2">
      <c r="A14" s="8">
        <f t="shared" si="8"/>
        <v>2028</v>
      </c>
      <c r="B14" s="52">
        <f>+'Grapes Margin - Baseline'!C14</f>
        <v>3662.8108089908628</v>
      </c>
      <c r="C14" s="22">
        <f t="shared" si="9"/>
        <v>3662.8108089908628</v>
      </c>
      <c r="D14" s="22"/>
      <c r="F14" s="161">
        <f>Grapes!$D$9</f>
        <v>15.4</v>
      </c>
      <c r="G14" s="27"/>
      <c r="I14" s="20">
        <f t="shared" si="0"/>
        <v>56407.28645845929</v>
      </c>
      <c r="J14" s="22">
        <f t="shared" si="1"/>
        <v>56407.28645845929</v>
      </c>
      <c r="L14" s="54">
        <f t="shared" si="33"/>
        <v>176</v>
      </c>
      <c r="M14" s="14">
        <f t="shared" si="10"/>
        <v>2.9691991675000557</v>
      </c>
      <c r="N14" s="7">
        <f t="shared" si="11"/>
        <v>522.57905348000986</v>
      </c>
      <c r="P14" s="15">
        <f t="shared" si="34"/>
        <v>4</v>
      </c>
      <c r="Q14" s="7">
        <f t="shared" si="12"/>
        <v>59.862886441533398</v>
      </c>
      <c r="R14" s="7">
        <f t="shared" si="13"/>
        <v>239.45154576613359</v>
      </c>
      <c r="T14" s="15">
        <f t="shared" si="35"/>
        <v>2</v>
      </c>
      <c r="U14" s="7">
        <f t="shared" si="14"/>
        <v>59.862886441533398</v>
      </c>
      <c r="V14" s="7">
        <f t="shared" si="15"/>
        <v>119.7257728830668</v>
      </c>
      <c r="X14" s="14">
        <f t="shared" si="36"/>
        <v>8</v>
      </c>
      <c r="Y14" s="7">
        <f t="shared" si="16"/>
        <v>179.58865932460023</v>
      </c>
      <c r="Z14" s="22">
        <f t="shared" si="17"/>
        <v>1436.7092745968018</v>
      </c>
      <c r="AB14" s="7">
        <f t="shared" si="18"/>
        <v>87.268180464753726</v>
      </c>
      <c r="AC14" s="7">
        <f t="shared" si="2"/>
        <v>1343.9299791572075</v>
      </c>
      <c r="AE14" s="7">
        <f t="shared" si="37"/>
        <v>15.4</v>
      </c>
      <c r="AF14" s="7">
        <f t="shared" si="19"/>
        <v>374.00648770608746</v>
      </c>
      <c r="AG14" s="22">
        <f t="shared" si="20"/>
        <v>5759.6999106737467</v>
      </c>
      <c r="AH14" s="7">
        <f t="shared" si="38"/>
        <v>32</v>
      </c>
      <c r="AI14" s="7">
        <f t="shared" si="21"/>
        <v>93.501621926521864</v>
      </c>
      <c r="AJ14" s="22">
        <f t="shared" si="22"/>
        <v>2992.0519016486996</v>
      </c>
      <c r="AK14" s="22">
        <f t="shared" si="3"/>
        <v>8751.7518123224472</v>
      </c>
      <c r="AM14" s="15">
        <f t="shared" si="39"/>
        <v>0.5</v>
      </c>
      <c r="AN14" s="7">
        <f t="shared" si="23"/>
        <v>120.87275669669849</v>
      </c>
      <c r="AO14" s="7">
        <f t="shared" si="24"/>
        <v>60.436378348349244</v>
      </c>
      <c r="AQ14" s="7">
        <f t="shared" si="40"/>
        <v>36</v>
      </c>
      <c r="AR14" s="7">
        <f t="shared" si="25"/>
        <v>28.050486577956541</v>
      </c>
      <c r="AS14" s="22">
        <f t="shared" si="26"/>
        <v>1009.8175168064355</v>
      </c>
      <c r="AT14" s="7">
        <f t="shared" si="41"/>
        <v>60</v>
      </c>
      <c r="AU14" s="7">
        <f t="shared" si="27"/>
        <v>28.050486577956541</v>
      </c>
      <c r="AV14" s="22">
        <f t="shared" si="28"/>
        <v>1683.0291946773925</v>
      </c>
      <c r="AW14" s="22">
        <f t="shared" si="29"/>
        <v>2692.8467114838281</v>
      </c>
      <c r="AY14" s="7">
        <f t="shared" si="42"/>
        <v>231</v>
      </c>
      <c r="AZ14" s="7">
        <f t="shared" si="30"/>
        <v>28.050486577956541</v>
      </c>
      <c r="BA14" s="22">
        <f t="shared" si="4"/>
        <v>6479.6623995079608</v>
      </c>
      <c r="BC14" s="7">
        <f t="shared" si="43"/>
        <v>154</v>
      </c>
      <c r="BD14" s="7"/>
      <c r="BE14" s="21" t="str">
        <f>IF(Grapes!$D$17&lt;0,(+N14+R14+V14+Z14+AC14+AK14+AO14+AW14+BA14+BC14)*Grapes!$D$17/100,IF(Grapes!$D$17&gt;0,(+N14+R14+V14+Z14+AC14+AK14+AO14+AW14+BA14+BC14)*Grapes!$D$17/100,""))</f>
        <v/>
      </c>
      <c r="BF14" s="22">
        <f t="shared" si="31"/>
        <v>21801.092927545804</v>
      </c>
      <c r="BH14" s="21">
        <f t="shared" si="5"/>
        <v>34606.193530913486</v>
      </c>
      <c r="BI14" s="21">
        <f t="shared" si="6"/>
        <v>34606.193530913486</v>
      </c>
      <c r="BK14" s="51">
        <f t="shared" si="7"/>
        <v>5.695867622933628</v>
      </c>
      <c r="BL14" s="51">
        <f t="shared" si="32"/>
        <v>5.695867622933628</v>
      </c>
      <c r="BN14" s="7">
        <f>+'Almonds Margin - Baseline'!BN12</f>
        <v>156.76830262480897</v>
      </c>
      <c r="BO14" s="7">
        <f>+'Almonds Margin - Baseline'!BO12</f>
        <v>176.78039985574398</v>
      </c>
      <c r="BP14" s="7">
        <f>+'Almonds Margin - Baseline'!BP12</f>
        <v>156.14770861729147</v>
      </c>
      <c r="BQ14" s="7">
        <f>+'Almonds Margin - Baseline'!BQ12</f>
        <v>119.35691661532179</v>
      </c>
    </row>
    <row r="15" spans="1:69" x14ac:dyDescent="0.2">
      <c r="A15" s="8">
        <f t="shared" si="8"/>
        <v>2029</v>
      </c>
      <c r="B15" s="52">
        <f>+'Grapes Margin - Baseline'!C15</f>
        <v>3780.0207548785702</v>
      </c>
      <c r="C15" s="22">
        <f t="shared" si="9"/>
        <v>3780.0207548785702</v>
      </c>
      <c r="D15" s="22"/>
      <c r="F15" s="161">
        <f>Grapes!$D$9</f>
        <v>15.4</v>
      </c>
      <c r="G15" s="27"/>
      <c r="I15" s="20">
        <f t="shared" si="0"/>
        <v>58212.319625129981</v>
      </c>
      <c r="J15" s="22">
        <f t="shared" si="1"/>
        <v>58212.319625129981</v>
      </c>
      <c r="L15" s="54">
        <f t="shared" si="33"/>
        <v>176</v>
      </c>
      <c r="M15" s="14">
        <f t="shared" si="10"/>
        <v>3.0267595934242211</v>
      </c>
      <c r="N15" s="7">
        <f t="shared" si="11"/>
        <v>532.70968844266292</v>
      </c>
      <c r="P15" s="15">
        <f t="shared" si="34"/>
        <v>4</v>
      </c>
      <c r="Q15" s="7">
        <f t="shared" si="12"/>
        <v>61.023378899681887</v>
      </c>
      <c r="R15" s="7">
        <f t="shared" si="13"/>
        <v>244.09351559872755</v>
      </c>
      <c r="T15" s="15">
        <f t="shared" si="35"/>
        <v>2</v>
      </c>
      <c r="U15" s="7">
        <f t="shared" si="14"/>
        <v>61.023378899681887</v>
      </c>
      <c r="V15" s="7">
        <f t="shared" si="15"/>
        <v>122.04675779936377</v>
      </c>
      <c r="X15" s="14">
        <f t="shared" si="36"/>
        <v>8</v>
      </c>
      <c r="Y15" s="7">
        <f t="shared" si="16"/>
        <v>183.07013669904569</v>
      </c>
      <c r="Z15" s="22">
        <f t="shared" si="17"/>
        <v>1464.5610935923655</v>
      </c>
      <c r="AB15" s="7">
        <f t="shared" si="18"/>
        <v>90.060762239625845</v>
      </c>
      <c r="AC15" s="7">
        <f t="shared" si="2"/>
        <v>1386.935738490238</v>
      </c>
      <c r="AE15" s="7">
        <f t="shared" si="37"/>
        <v>15.4</v>
      </c>
      <c r="AF15" s="7">
        <f t="shared" si="19"/>
        <v>385.97469531268229</v>
      </c>
      <c r="AG15" s="22">
        <f t="shared" si="20"/>
        <v>5944.010307815307</v>
      </c>
      <c r="AH15" s="7">
        <f t="shared" si="38"/>
        <v>32</v>
      </c>
      <c r="AI15" s="7">
        <f t="shared" si="21"/>
        <v>96.493673828170571</v>
      </c>
      <c r="AJ15" s="22">
        <f t="shared" si="22"/>
        <v>3087.7975625014583</v>
      </c>
      <c r="AK15" s="22">
        <f t="shared" si="3"/>
        <v>9031.8078703167648</v>
      </c>
      <c r="AM15" s="15">
        <f t="shared" si="39"/>
        <v>0.5</v>
      </c>
      <c r="AN15" s="7">
        <f t="shared" si="23"/>
        <v>124.74068491099284</v>
      </c>
      <c r="AO15" s="7">
        <f t="shared" si="24"/>
        <v>62.37034245549642</v>
      </c>
      <c r="AQ15" s="7">
        <f t="shared" si="40"/>
        <v>36</v>
      </c>
      <c r="AR15" s="7">
        <f t="shared" si="25"/>
        <v>28.948102148451149</v>
      </c>
      <c r="AS15" s="22">
        <f t="shared" si="26"/>
        <v>1042.1316773442413</v>
      </c>
      <c r="AT15" s="7">
        <f t="shared" si="41"/>
        <v>60</v>
      </c>
      <c r="AU15" s="7">
        <f t="shared" si="27"/>
        <v>28.948102148451149</v>
      </c>
      <c r="AV15" s="22">
        <f t="shared" si="28"/>
        <v>1736.886128907069</v>
      </c>
      <c r="AW15" s="22">
        <f t="shared" si="29"/>
        <v>2779.0178062513105</v>
      </c>
      <c r="AY15" s="7">
        <f t="shared" si="42"/>
        <v>231</v>
      </c>
      <c r="AZ15" s="7">
        <f t="shared" si="30"/>
        <v>28.948102148451149</v>
      </c>
      <c r="BA15" s="22">
        <f t="shared" si="4"/>
        <v>6687.0115962922155</v>
      </c>
      <c r="BC15" s="7">
        <f t="shared" si="43"/>
        <v>154</v>
      </c>
      <c r="BD15" s="7"/>
      <c r="BE15" s="21" t="str">
        <f>IF(Grapes!$D$17&lt;0,(+N15+R15+V15+Z15+AC15+AK15+AO15+AW15+BA15+BC15)*Grapes!$D$17/100,IF(Grapes!$D$17&gt;0,(+N15+R15+V15+Z15+AC15+AK15+AO15+AW15+BA15+BC15)*Grapes!$D$17/100,""))</f>
        <v/>
      </c>
      <c r="BF15" s="22">
        <f t="shared" si="31"/>
        <v>22464.554409239143</v>
      </c>
      <c r="BH15" s="21">
        <f t="shared" si="5"/>
        <v>35747.765215890839</v>
      </c>
      <c r="BI15" s="21">
        <f t="shared" si="6"/>
        <v>35747.765215890839</v>
      </c>
      <c r="BK15" s="51">
        <f t="shared" si="7"/>
        <v>5.6873732556521359</v>
      </c>
      <c r="BL15" s="51">
        <f t="shared" si="32"/>
        <v>5.6873732556521359</v>
      </c>
      <c r="BN15" s="7">
        <f>+'Almonds Margin - Baseline'!BN13</f>
        <v>161.78488830880286</v>
      </c>
      <c r="BO15" s="7">
        <f>+'Almonds Margin - Baseline'!BO13</f>
        <v>182.43737265112779</v>
      </c>
      <c r="BP15" s="7">
        <f>+'Almonds Margin - Baseline'!BP13</f>
        <v>161.14443529304481</v>
      </c>
      <c r="BQ15" s="7">
        <f>+'Almonds Margin - Baseline'!BQ13</f>
        <v>121.670750942292</v>
      </c>
    </row>
    <row r="16" spans="1:69" x14ac:dyDescent="0.2">
      <c r="A16" s="8">
        <f t="shared" si="8"/>
        <v>2030</v>
      </c>
      <c r="B16" s="52">
        <f>+'Grapes Margin - Baseline'!C16</f>
        <v>3900.9814190346842</v>
      </c>
      <c r="C16" s="22">
        <f t="shared" si="9"/>
        <v>3900.9814190346842</v>
      </c>
      <c r="D16" s="22"/>
      <c r="F16" s="161">
        <f>Grapes!$D$9</f>
        <v>15.4</v>
      </c>
      <c r="G16" s="27"/>
      <c r="I16" s="20">
        <f t="shared" si="0"/>
        <v>60075.113853134135</v>
      </c>
      <c r="J16" s="22">
        <f t="shared" si="1"/>
        <v>60075.113853134135</v>
      </c>
      <c r="L16" s="54">
        <f t="shared" si="33"/>
        <v>176</v>
      </c>
      <c r="M16" s="14">
        <f t="shared" si="10"/>
        <v>3.0844935826286295</v>
      </c>
      <c r="N16" s="7">
        <f t="shared" si="11"/>
        <v>542.87087054263884</v>
      </c>
      <c r="P16" s="15">
        <f t="shared" si="34"/>
        <v>4</v>
      </c>
      <c r="Q16" s="7">
        <f t="shared" si="12"/>
        <v>62.187370617512713</v>
      </c>
      <c r="R16" s="7">
        <f t="shared" si="13"/>
        <v>248.74948247005085</v>
      </c>
      <c r="T16" s="15">
        <f t="shared" si="35"/>
        <v>2</v>
      </c>
      <c r="U16" s="7">
        <f t="shared" si="14"/>
        <v>62.187370617512713</v>
      </c>
      <c r="V16" s="7">
        <f t="shared" si="15"/>
        <v>124.37474123502543</v>
      </c>
      <c r="X16" s="14">
        <f t="shared" si="36"/>
        <v>8</v>
      </c>
      <c r="Y16" s="7">
        <f t="shared" si="16"/>
        <v>186.56211185253815</v>
      </c>
      <c r="Z16" s="22">
        <f t="shared" si="17"/>
        <v>1492.4968948203052</v>
      </c>
      <c r="AB16" s="7">
        <f t="shared" si="18"/>
        <v>92.942706631293873</v>
      </c>
      <c r="AC16" s="7">
        <f t="shared" si="2"/>
        <v>1431.3176821219256</v>
      </c>
      <c r="AE16" s="7">
        <f t="shared" si="37"/>
        <v>15.4</v>
      </c>
      <c r="AF16" s="7">
        <f t="shared" si="19"/>
        <v>398.32588556268814</v>
      </c>
      <c r="AG16" s="22">
        <f t="shared" si="20"/>
        <v>6134.2186376653972</v>
      </c>
      <c r="AH16" s="7">
        <f t="shared" si="38"/>
        <v>32</v>
      </c>
      <c r="AI16" s="7">
        <f t="shared" si="21"/>
        <v>99.581471390672036</v>
      </c>
      <c r="AJ16" s="22">
        <f t="shared" si="22"/>
        <v>3186.6070845015051</v>
      </c>
      <c r="AK16" s="22">
        <f t="shared" si="3"/>
        <v>9320.8257221669028</v>
      </c>
      <c r="AM16" s="15">
        <f t="shared" si="39"/>
        <v>0.5</v>
      </c>
      <c r="AN16" s="7">
        <f t="shared" si="23"/>
        <v>128.7323868281446</v>
      </c>
      <c r="AO16" s="7">
        <f t="shared" si="24"/>
        <v>64.366193414072299</v>
      </c>
      <c r="AQ16" s="7">
        <f t="shared" si="40"/>
        <v>36</v>
      </c>
      <c r="AR16" s="7">
        <f t="shared" si="25"/>
        <v>29.874441417201584</v>
      </c>
      <c r="AS16" s="22">
        <f t="shared" si="26"/>
        <v>1075.4798910192571</v>
      </c>
      <c r="AT16" s="7">
        <f t="shared" si="41"/>
        <v>60</v>
      </c>
      <c r="AU16" s="7">
        <f t="shared" si="27"/>
        <v>29.874441417201584</v>
      </c>
      <c r="AV16" s="22">
        <f t="shared" si="28"/>
        <v>1792.4664850320951</v>
      </c>
      <c r="AW16" s="22">
        <f t="shared" si="29"/>
        <v>2867.9463760513522</v>
      </c>
      <c r="AY16" s="7">
        <f t="shared" si="42"/>
        <v>231</v>
      </c>
      <c r="AZ16" s="7">
        <f t="shared" si="30"/>
        <v>29.874441417201584</v>
      </c>
      <c r="BA16" s="22">
        <f t="shared" si="4"/>
        <v>6900.9959673735657</v>
      </c>
      <c r="BC16" s="7">
        <f t="shared" si="43"/>
        <v>154</v>
      </c>
      <c r="BD16" s="7"/>
      <c r="BE16" s="21" t="str">
        <f>IF(Grapes!$D$17&lt;0,(+N16+R16+V16+Z16+AC16+AK16+AO16+AW16+BA16+BC16)*Grapes!$D$17/100,IF(Grapes!$D$17&gt;0,(+N16+R16+V16+Z16+AC16+AK16+AO16+AW16+BA16+BC16)*Grapes!$D$17/100,""))</f>
        <v/>
      </c>
      <c r="BF16" s="22">
        <f t="shared" si="31"/>
        <v>23147.943930195841</v>
      </c>
      <c r="BH16" s="21">
        <f t="shared" si="5"/>
        <v>36927.169922938294</v>
      </c>
      <c r="BI16" s="21">
        <f t="shared" si="6"/>
        <v>36927.169922938294</v>
      </c>
      <c r="BK16" s="51">
        <f t="shared" si="7"/>
        <v>5.6788007395440898</v>
      </c>
      <c r="BL16" s="51">
        <f t="shared" si="32"/>
        <v>5.6788007395440898</v>
      </c>
      <c r="BN16" s="7">
        <f>+'Almonds Margin - Baseline'!BN14</f>
        <v>166.96200473468454</v>
      </c>
      <c r="BO16" s="7">
        <f>+'Almonds Margin - Baseline'!BO14</f>
        <v>188.27536857596388</v>
      </c>
      <c r="BP16" s="7">
        <f>+'Almonds Margin - Baseline'!BP14</f>
        <v>166.30105722242223</v>
      </c>
      <c r="BQ16" s="7">
        <f>+'Almonds Margin - Baseline'!BQ14</f>
        <v>123.9915622272899</v>
      </c>
    </row>
    <row r="17" spans="1:69" x14ac:dyDescent="0.2">
      <c r="A17" s="8">
        <f t="shared" si="8"/>
        <v>2031</v>
      </c>
      <c r="B17" s="52">
        <f>+'Grapes Margin - Baseline'!C17</f>
        <v>4025.8128244437944</v>
      </c>
      <c r="C17" s="22">
        <f t="shared" si="9"/>
        <v>4025.8128244437944</v>
      </c>
      <c r="D17" s="22"/>
      <c r="F17" s="161">
        <f>Grapes!$D$9</f>
        <v>15.4</v>
      </c>
      <c r="G17" s="27"/>
      <c r="I17" s="20">
        <f t="shared" si="0"/>
        <v>61997.517496434433</v>
      </c>
      <c r="J17" s="22">
        <f t="shared" si="1"/>
        <v>61997.517496434433</v>
      </c>
      <c r="L17" s="54">
        <f t="shared" si="33"/>
        <v>176</v>
      </c>
      <c r="M17" s="14">
        <f t="shared" si="10"/>
        <v>3.1008408176514002</v>
      </c>
      <c r="N17" s="7">
        <f t="shared" si="11"/>
        <v>545.74798390664648</v>
      </c>
      <c r="P17" s="15">
        <f t="shared" si="34"/>
        <v>4</v>
      </c>
      <c r="Q17" s="7">
        <f t="shared" si="12"/>
        <v>62.516951968778244</v>
      </c>
      <c r="R17" s="7">
        <f t="shared" si="13"/>
        <v>250.06780787511298</v>
      </c>
      <c r="T17" s="15">
        <f t="shared" si="35"/>
        <v>2</v>
      </c>
      <c r="U17" s="7">
        <f t="shared" si="14"/>
        <v>62.516951968778244</v>
      </c>
      <c r="V17" s="7">
        <f t="shared" si="15"/>
        <v>125.03390393755649</v>
      </c>
      <c r="X17" s="14">
        <f t="shared" si="36"/>
        <v>8</v>
      </c>
      <c r="Y17" s="7">
        <f t="shared" si="16"/>
        <v>187.55085590633476</v>
      </c>
      <c r="Z17" s="22">
        <f t="shared" si="17"/>
        <v>1500.4068472506781</v>
      </c>
      <c r="AB17" s="7">
        <f t="shared" si="18"/>
        <v>95.916873243495274</v>
      </c>
      <c r="AC17" s="7">
        <f t="shared" si="2"/>
        <v>1477.1198479498273</v>
      </c>
      <c r="AE17" s="7">
        <f t="shared" si="37"/>
        <v>15.4</v>
      </c>
      <c r="AF17" s="7">
        <f t="shared" si="19"/>
        <v>411.07231390069416</v>
      </c>
      <c r="AG17" s="22">
        <f t="shared" si="20"/>
        <v>6330.5136340706904</v>
      </c>
      <c r="AH17" s="7">
        <f t="shared" si="38"/>
        <v>32</v>
      </c>
      <c r="AI17" s="7">
        <f t="shared" si="21"/>
        <v>102.76807847517354</v>
      </c>
      <c r="AJ17" s="22">
        <f t="shared" si="22"/>
        <v>3288.5785112055532</v>
      </c>
      <c r="AK17" s="22">
        <f t="shared" si="3"/>
        <v>9619.0921452762432</v>
      </c>
      <c r="AM17" s="15">
        <f t="shared" si="39"/>
        <v>0.5</v>
      </c>
      <c r="AN17" s="7">
        <f t="shared" si="23"/>
        <v>132.85182320664524</v>
      </c>
      <c r="AO17" s="7">
        <f t="shared" si="24"/>
        <v>66.425911603322618</v>
      </c>
      <c r="AQ17" s="7">
        <f t="shared" si="40"/>
        <v>36</v>
      </c>
      <c r="AR17" s="7">
        <f t="shared" si="25"/>
        <v>30.83042354255203</v>
      </c>
      <c r="AS17" s="22">
        <f t="shared" si="26"/>
        <v>1109.8952475318731</v>
      </c>
      <c r="AT17" s="7">
        <f t="shared" si="41"/>
        <v>60</v>
      </c>
      <c r="AU17" s="7">
        <f t="shared" si="27"/>
        <v>30.83042354255203</v>
      </c>
      <c r="AV17" s="22">
        <f t="shared" si="28"/>
        <v>1849.8254125531219</v>
      </c>
      <c r="AW17" s="22">
        <f t="shared" si="29"/>
        <v>2959.720660084995</v>
      </c>
      <c r="AY17" s="7">
        <f t="shared" si="42"/>
        <v>231</v>
      </c>
      <c r="AZ17" s="7">
        <f t="shared" si="30"/>
        <v>30.83042354255203</v>
      </c>
      <c r="BA17" s="22">
        <f t="shared" si="4"/>
        <v>7121.8278383295192</v>
      </c>
      <c r="BC17" s="7">
        <f t="shared" si="43"/>
        <v>154</v>
      </c>
      <c r="BD17" s="7"/>
      <c r="BE17" s="21" t="str">
        <f>IF(Grapes!$D$17&lt;0,(+N17+R17+V17+Z17+AC17+AK17+AO17+AW17+BA17+BC17)*Grapes!$D$17/100,IF(Grapes!$D$17&gt;0,(+N17+R17+V17+Z17+AC17+AK17+AO17+AW17+BA17+BC17)*Grapes!$D$17/100,""))</f>
        <v/>
      </c>
      <c r="BF17" s="22">
        <f t="shared" si="31"/>
        <v>23819.442946213901</v>
      </c>
      <c r="BH17" s="21">
        <f t="shared" si="5"/>
        <v>38178.074550220532</v>
      </c>
      <c r="BI17" s="21">
        <f t="shared" si="6"/>
        <v>38178.074550220532</v>
      </c>
      <c r="BK17" s="51">
        <f t="shared" si="7"/>
        <v>5.6618811457518081</v>
      </c>
      <c r="BL17" s="51">
        <f t="shared" si="32"/>
        <v>5.6618811457518081</v>
      </c>
      <c r="BN17" s="7">
        <f>+'Almonds Margin - Baseline'!BN15</f>
        <v>172.30478888619444</v>
      </c>
      <c r="BO17" s="7">
        <f>+'Almonds Margin - Baseline'!BO15</f>
        <v>194.30018037039471</v>
      </c>
      <c r="BP17" s="7">
        <f>+'Almonds Margin - Baseline'!BP15</f>
        <v>171.62269105353974</v>
      </c>
      <c r="BQ17" s="7">
        <f>+'Almonds Margin - Baseline'!BQ15</f>
        <v>124.64869415325184</v>
      </c>
    </row>
    <row r="18" spans="1:69" x14ac:dyDescent="0.2">
      <c r="A18" s="8">
        <f t="shared" si="8"/>
        <v>2032</v>
      </c>
      <c r="B18" s="52">
        <f>+'Grapes Margin - Baseline'!C18</f>
        <v>4154.6388348259952</v>
      </c>
      <c r="C18" s="22">
        <f t="shared" si="9"/>
        <v>4154.6388348259952</v>
      </c>
      <c r="D18" s="22"/>
      <c r="F18" s="161">
        <f>Grapes!$D$9</f>
        <v>15.4</v>
      </c>
      <c r="G18" s="27"/>
      <c r="I18" s="20">
        <f t="shared" si="0"/>
        <v>63981.43805632033</v>
      </c>
      <c r="J18" s="22">
        <f t="shared" si="1"/>
        <v>63981.43805632033</v>
      </c>
      <c r="L18" s="54">
        <f t="shared" si="33"/>
        <v>176</v>
      </c>
      <c r="M18" s="14">
        <f t="shared" si="10"/>
        <v>3.1121363096322847</v>
      </c>
      <c r="N18" s="7">
        <f t="shared" si="11"/>
        <v>547.73599049528207</v>
      </c>
      <c r="P18" s="15">
        <f t="shared" si="34"/>
        <v>4</v>
      </c>
      <c r="Q18" s="7">
        <f t="shared" si="12"/>
        <v>62.744683661941238</v>
      </c>
      <c r="R18" s="7">
        <f t="shared" si="13"/>
        <v>250.97873464776495</v>
      </c>
      <c r="T18" s="15">
        <f t="shared" si="35"/>
        <v>2</v>
      </c>
      <c r="U18" s="7">
        <f t="shared" si="14"/>
        <v>62.744683661941238</v>
      </c>
      <c r="V18" s="7">
        <f t="shared" si="15"/>
        <v>125.48936732388248</v>
      </c>
      <c r="X18" s="14">
        <f t="shared" si="36"/>
        <v>8</v>
      </c>
      <c r="Y18" s="7">
        <f t="shared" si="16"/>
        <v>188.23405098582373</v>
      </c>
      <c r="Z18" s="22">
        <f t="shared" si="17"/>
        <v>1505.8724078865898</v>
      </c>
      <c r="AB18" s="7">
        <f t="shared" si="18"/>
        <v>98.98621318728712</v>
      </c>
      <c r="AC18" s="7">
        <f t="shared" si="2"/>
        <v>1524.3876830842216</v>
      </c>
      <c r="AE18" s="7">
        <f t="shared" si="37"/>
        <v>15.4</v>
      </c>
      <c r="AF18" s="7">
        <f t="shared" si="19"/>
        <v>424.22662794551638</v>
      </c>
      <c r="AG18" s="22">
        <f t="shared" si="20"/>
        <v>6533.0900703609523</v>
      </c>
      <c r="AH18" s="7">
        <f t="shared" si="38"/>
        <v>32</v>
      </c>
      <c r="AI18" s="7">
        <f t="shared" si="21"/>
        <v>106.0566569863791</v>
      </c>
      <c r="AJ18" s="22">
        <f t="shared" si="22"/>
        <v>3393.8130235641311</v>
      </c>
      <c r="AK18" s="22">
        <f t="shared" si="3"/>
        <v>9926.9030939250842</v>
      </c>
      <c r="AM18" s="15">
        <f t="shared" si="39"/>
        <v>0.5</v>
      </c>
      <c r="AN18" s="7">
        <f t="shared" si="23"/>
        <v>137.10308154925789</v>
      </c>
      <c r="AO18" s="7">
        <f t="shared" si="24"/>
        <v>68.551540774628947</v>
      </c>
      <c r="AQ18" s="7">
        <f t="shared" si="40"/>
        <v>36</v>
      </c>
      <c r="AR18" s="7">
        <f t="shared" si="25"/>
        <v>31.816997095913695</v>
      </c>
      <c r="AS18" s="22">
        <f t="shared" si="26"/>
        <v>1145.4118954528931</v>
      </c>
      <c r="AT18" s="7">
        <f t="shared" si="41"/>
        <v>60</v>
      </c>
      <c r="AU18" s="7">
        <f t="shared" si="27"/>
        <v>31.816997095913695</v>
      </c>
      <c r="AV18" s="22">
        <f t="shared" si="28"/>
        <v>1909.0198257548218</v>
      </c>
      <c r="AW18" s="22">
        <f t="shared" si="29"/>
        <v>3054.4317212077149</v>
      </c>
      <c r="AY18" s="7">
        <f t="shared" si="42"/>
        <v>231</v>
      </c>
      <c r="AZ18" s="7">
        <f t="shared" si="30"/>
        <v>31.816997095913695</v>
      </c>
      <c r="BA18" s="22">
        <f t="shared" si="4"/>
        <v>7349.7263291560639</v>
      </c>
      <c r="BC18" s="7">
        <f t="shared" si="43"/>
        <v>154</v>
      </c>
      <c r="BD18" s="7"/>
      <c r="BE18" s="21" t="str">
        <f>IF(Grapes!$D$17&lt;0,(+N18+R18+V18+Z18+AC18+AK18+AO18+AW18+BA18+BC18)*Grapes!$D$17/100,IF(Grapes!$D$17&gt;0,(+N18+R18+V18+Z18+AC18+AK18+AO18+AW18+BA18+BC18)*Grapes!$D$17/100,""))</f>
        <v/>
      </c>
      <c r="BF18" s="22">
        <f t="shared" si="31"/>
        <v>24508.076868501234</v>
      </c>
      <c r="BH18" s="21">
        <f t="shared" si="5"/>
        <v>39473.3611878191</v>
      </c>
      <c r="BI18" s="21">
        <f t="shared" si="6"/>
        <v>39473.3611878191</v>
      </c>
      <c r="BK18" s="51">
        <f t="shared" si="7"/>
        <v>5.644412838640136</v>
      </c>
      <c r="BL18" s="51">
        <f t="shared" si="32"/>
        <v>5.644412838640136</v>
      </c>
      <c r="BN18" s="7">
        <f>+'Almonds Margin - Baseline'!BN16</f>
        <v>177.81854213055266</v>
      </c>
      <c r="BO18" s="7">
        <f>+'Almonds Margin - Baseline'!BO16</f>
        <v>200.51778614224733</v>
      </c>
      <c r="BP18" s="7">
        <f>+'Almonds Margin - Baseline'!BP16</f>
        <v>177.11461716725302</v>
      </c>
      <c r="BQ18" s="7">
        <f>+'Almonds Margin - Baseline'!BQ16</f>
        <v>125.10275432855042</v>
      </c>
    </row>
    <row r="19" spans="1:69" x14ac:dyDescent="0.2">
      <c r="A19" s="8">
        <f t="shared" si="8"/>
        <v>2033</v>
      </c>
      <c r="B19" s="52">
        <f>+'Grapes Margin - Baseline'!C19</f>
        <v>4287.5872775404268</v>
      </c>
      <c r="C19" s="22">
        <f t="shared" si="9"/>
        <v>4287.5872775404268</v>
      </c>
      <c r="D19" s="22"/>
      <c r="F19" s="161">
        <f>Grapes!$D$9</f>
        <v>15.4</v>
      </c>
      <c r="G19" s="27"/>
      <c r="I19" s="20">
        <f t="shared" si="0"/>
        <v>66028.844074122579</v>
      </c>
      <c r="J19" s="22">
        <f t="shared" si="1"/>
        <v>66028.844074122579</v>
      </c>
      <c r="L19" s="54">
        <f t="shared" si="33"/>
        <v>176</v>
      </c>
      <c r="M19" s="14">
        <f t="shared" si="10"/>
        <v>3.1031781773370697</v>
      </c>
      <c r="N19" s="7">
        <f t="shared" si="11"/>
        <v>546.15935921132427</v>
      </c>
      <c r="P19" s="15">
        <f t="shared" si="34"/>
        <v>4</v>
      </c>
      <c r="Q19" s="7">
        <f t="shared" si="12"/>
        <v>62.564076155989319</v>
      </c>
      <c r="R19" s="7">
        <f t="shared" si="13"/>
        <v>250.25630462395728</v>
      </c>
      <c r="T19" s="15">
        <f t="shared" si="35"/>
        <v>2</v>
      </c>
      <c r="U19" s="7">
        <f t="shared" si="14"/>
        <v>62.564076155989319</v>
      </c>
      <c r="V19" s="7">
        <f t="shared" si="15"/>
        <v>125.12815231197864</v>
      </c>
      <c r="X19" s="14">
        <f t="shared" si="36"/>
        <v>8</v>
      </c>
      <c r="Y19" s="7">
        <f t="shared" si="16"/>
        <v>187.69222846796799</v>
      </c>
      <c r="Z19" s="22">
        <f t="shared" si="17"/>
        <v>1501.5378277437439</v>
      </c>
      <c r="AB19" s="7">
        <f t="shared" si="18"/>
        <v>102.15377200928032</v>
      </c>
      <c r="AC19" s="7">
        <f t="shared" si="2"/>
        <v>1573.1680889429169</v>
      </c>
      <c r="AE19" s="7">
        <f t="shared" si="37"/>
        <v>15.4</v>
      </c>
      <c r="AF19" s="7">
        <f t="shared" si="19"/>
        <v>437.80188003977293</v>
      </c>
      <c r="AG19" s="22">
        <f t="shared" si="20"/>
        <v>6742.1489526125033</v>
      </c>
      <c r="AH19" s="7">
        <f t="shared" si="38"/>
        <v>32</v>
      </c>
      <c r="AI19" s="7">
        <f t="shared" si="21"/>
        <v>109.45047000994323</v>
      </c>
      <c r="AJ19" s="22">
        <f t="shared" si="22"/>
        <v>3502.4150403181834</v>
      </c>
      <c r="AK19" s="22">
        <f t="shared" si="3"/>
        <v>10244.563992930687</v>
      </c>
      <c r="AM19" s="15">
        <f t="shared" si="39"/>
        <v>0.5</v>
      </c>
      <c r="AN19" s="7">
        <f t="shared" si="23"/>
        <v>141.49038015883414</v>
      </c>
      <c r="AO19" s="7">
        <f t="shared" si="24"/>
        <v>70.745190079417071</v>
      </c>
      <c r="AQ19" s="7">
        <f t="shared" si="40"/>
        <v>36</v>
      </c>
      <c r="AR19" s="7">
        <f t="shared" si="25"/>
        <v>32.83514100298293</v>
      </c>
      <c r="AS19" s="22">
        <f t="shared" si="26"/>
        <v>1182.0650761073855</v>
      </c>
      <c r="AT19" s="7">
        <f t="shared" si="41"/>
        <v>60</v>
      </c>
      <c r="AU19" s="7">
        <f t="shared" si="27"/>
        <v>32.83514100298293</v>
      </c>
      <c r="AV19" s="22">
        <f t="shared" si="28"/>
        <v>1970.1084601789757</v>
      </c>
      <c r="AW19" s="22">
        <f t="shared" si="29"/>
        <v>3152.173536286361</v>
      </c>
      <c r="AY19" s="7">
        <f t="shared" si="42"/>
        <v>231</v>
      </c>
      <c r="AZ19" s="7">
        <f t="shared" si="30"/>
        <v>32.83514100298293</v>
      </c>
      <c r="BA19" s="22">
        <f t="shared" si="4"/>
        <v>7584.9175716890568</v>
      </c>
      <c r="BC19" s="7">
        <f t="shared" si="43"/>
        <v>154</v>
      </c>
      <c r="BD19" s="7"/>
      <c r="BE19" s="21" t="str">
        <f>IF(Grapes!$D$17&lt;0,(+N19+R19+V19+Z19+AC19+AK19+AO19+AW19+BA19+BC19)*Grapes!$D$17/100,IF(Grapes!$D$17&gt;0,(+N19+R19+V19+Z19+AC19+AK19+AO19+AW19+BA19+BC19)*Grapes!$D$17/100,""))</f>
        <v/>
      </c>
      <c r="BF19" s="22">
        <f t="shared" si="31"/>
        <v>25202.650023819442</v>
      </c>
      <c r="BH19" s="21">
        <f t="shared" si="5"/>
        <v>40826.194050303136</v>
      </c>
      <c r="BI19" s="21">
        <f t="shared" si="6"/>
        <v>40826.194050303136</v>
      </c>
      <c r="BK19" s="51">
        <f t="shared" si="7"/>
        <v>5.6236329800849347</v>
      </c>
      <c r="BL19" s="51">
        <f t="shared" si="32"/>
        <v>5.6236329800849347</v>
      </c>
      <c r="BN19" s="7">
        <f>+'Almonds Margin - Baseline'!BN17</f>
        <v>183.50873547873033</v>
      </c>
      <c r="BO19" s="7">
        <f>+'Almonds Margin - Baseline'!BO17</f>
        <v>206.93435529879923</v>
      </c>
      <c r="BP19" s="7">
        <f>+'Almonds Margin - Baseline'!BP17</f>
        <v>182.78228491660511</v>
      </c>
      <c r="BQ19" s="7">
        <f>+'Almonds Margin - Baseline'!BQ17</f>
        <v>124.74265216326211</v>
      </c>
    </row>
    <row r="20" spans="1:69" x14ac:dyDescent="0.2">
      <c r="A20" s="8">
        <f t="shared" si="8"/>
        <v>2034</v>
      </c>
      <c r="B20" s="52">
        <f>+'Grapes Margin - Baseline'!C20</f>
        <v>4424.79007042172</v>
      </c>
      <c r="C20" s="22">
        <f t="shared" si="9"/>
        <v>4424.79007042172</v>
      </c>
      <c r="D20" s="22"/>
      <c r="F20" s="161">
        <f>Grapes!$D$9</f>
        <v>15.4</v>
      </c>
      <c r="G20" s="27"/>
      <c r="I20" s="20">
        <f t="shared" si="0"/>
        <v>68141.767084494495</v>
      </c>
      <c r="J20" s="22">
        <f t="shared" si="1"/>
        <v>68141.767084494495</v>
      </c>
      <c r="L20" s="54">
        <f t="shared" si="33"/>
        <v>176</v>
      </c>
      <c r="M20" s="14">
        <f t="shared" si="10"/>
        <v>3.0986979932020087</v>
      </c>
      <c r="N20" s="7">
        <f t="shared" si="11"/>
        <v>545.37084680355349</v>
      </c>
      <c r="P20" s="15">
        <f t="shared" si="34"/>
        <v>4</v>
      </c>
      <c r="Q20" s="7">
        <f t="shared" si="12"/>
        <v>62.473749862943734</v>
      </c>
      <c r="R20" s="7">
        <f t="shared" si="13"/>
        <v>249.89499945177494</v>
      </c>
      <c r="T20" s="15">
        <f t="shared" si="35"/>
        <v>2</v>
      </c>
      <c r="U20" s="7">
        <f t="shared" si="14"/>
        <v>62.473749862943734</v>
      </c>
      <c r="V20" s="7">
        <f t="shared" si="15"/>
        <v>124.94749972588747</v>
      </c>
      <c r="X20" s="14">
        <f t="shared" si="36"/>
        <v>8</v>
      </c>
      <c r="Y20" s="7">
        <f t="shared" si="16"/>
        <v>187.42124958883122</v>
      </c>
      <c r="Z20" s="22">
        <f t="shared" si="17"/>
        <v>1499.3699967106497</v>
      </c>
      <c r="AB20" s="7">
        <f t="shared" si="18"/>
        <v>105.42269271357729</v>
      </c>
      <c r="AC20" s="7">
        <f t="shared" si="2"/>
        <v>1623.5094677890904</v>
      </c>
      <c r="AE20" s="7">
        <f t="shared" si="37"/>
        <v>15.4</v>
      </c>
      <c r="AF20" s="7">
        <f t="shared" si="19"/>
        <v>451.81154020104566</v>
      </c>
      <c r="AG20" s="22">
        <f t="shared" si="20"/>
        <v>6957.8977190961032</v>
      </c>
      <c r="AH20" s="7">
        <f t="shared" si="38"/>
        <v>32</v>
      </c>
      <c r="AI20" s="7">
        <f t="shared" si="21"/>
        <v>112.95288505026141</v>
      </c>
      <c r="AJ20" s="22">
        <f t="shared" si="22"/>
        <v>3614.4923216083653</v>
      </c>
      <c r="AK20" s="22">
        <f t="shared" si="3"/>
        <v>10572.390040704468</v>
      </c>
      <c r="AM20" s="15">
        <f t="shared" si="39"/>
        <v>0.5</v>
      </c>
      <c r="AN20" s="7">
        <f t="shared" si="23"/>
        <v>146.01807232391684</v>
      </c>
      <c r="AO20" s="7">
        <f t="shared" si="24"/>
        <v>73.00903616195842</v>
      </c>
      <c r="AQ20" s="7">
        <f t="shared" si="40"/>
        <v>36</v>
      </c>
      <c r="AR20" s="7">
        <f t="shared" si="25"/>
        <v>33.885865515078386</v>
      </c>
      <c r="AS20" s="22">
        <f t="shared" si="26"/>
        <v>1219.8911585428218</v>
      </c>
      <c r="AT20" s="7">
        <f t="shared" si="41"/>
        <v>60</v>
      </c>
      <c r="AU20" s="7">
        <f t="shared" si="27"/>
        <v>33.885865515078386</v>
      </c>
      <c r="AV20" s="22">
        <f t="shared" si="28"/>
        <v>2033.1519309047032</v>
      </c>
      <c r="AW20" s="22">
        <f t="shared" si="29"/>
        <v>3253.0430894475248</v>
      </c>
      <c r="AY20" s="7">
        <f t="shared" si="42"/>
        <v>231</v>
      </c>
      <c r="AZ20" s="7">
        <f t="shared" si="30"/>
        <v>33.885865515078386</v>
      </c>
      <c r="BA20" s="22">
        <f t="shared" si="4"/>
        <v>7827.6349339831067</v>
      </c>
      <c r="BC20" s="7">
        <f t="shared" si="43"/>
        <v>154</v>
      </c>
      <c r="BD20" s="7"/>
      <c r="BE20" s="21" t="str">
        <f>IF(Grapes!$D$17&lt;0,(+N20+R20+V20+Z20+AC20+AK20+AO20+AW20+BA20+BC20)*Grapes!$D$17/100,IF(Grapes!$D$17&gt;0,(+N20+R20+V20+Z20+AC20+AK20+AO20+AW20+BA20+BC20)*Grapes!$D$17/100,""))</f>
        <v/>
      </c>
      <c r="BF20" s="22">
        <f t="shared" si="31"/>
        <v>25923.169910778015</v>
      </c>
      <c r="BH20" s="21">
        <f t="shared" si="5"/>
        <v>42218.59717371648</v>
      </c>
      <c r="BI20" s="21">
        <f t="shared" si="6"/>
        <v>42218.59717371648</v>
      </c>
      <c r="BK20" s="51">
        <f t="shared" si="7"/>
        <v>5.6043643278706012</v>
      </c>
      <c r="BL20" s="51">
        <f t="shared" si="32"/>
        <v>5.6043643278706012</v>
      </c>
      <c r="BN20" s="7">
        <f>+'Almonds Margin - Baseline'!BN18</f>
        <v>189.38101501404969</v>
      </c>
      <c r="BO20" s="7">
        <f>+'Almonds Margin - Baseline'!BO18</f>
        <v>213.55625466836082</v>
      </c>
      <c r="BP20" s="7">
        <f>+'Almonds Margin - Baseline'!BP18</f>
        <v>188.63131803393648</v>
      </c>
      <c r="BQ20" s="7">
        <f>+'Almonds Margin - Baseline'!BQ18</f>
        <v>124.56255613936351</v>
      </c>
    </row>
    <row r="21" spans="1:69" x14ac:dyDescent="0.2">
      <c r="A21" s="8">
        <f t="shared" si="8"/>
        <v>2035</v>
      </c>
      <c r="B21" s="52">
        <f>+'Grapes Margin - Baseline'!C21</f>
        <v>4566.3833526752151</v>
      </c>
      <c r="C21" s="22">
        <f t="shared" si="9"/>
        <v>4566.3833526752151</v>
      </c>
      <c r="D21" s="22"/>
      <c r="F21" s="161">
        <f>Grapes!$D$9</f>
        <v>15.4</v>
      </c>
      <c r="G21" s="27"/>
      <c r="I21" s="20">
        <f t="shared" si="0"/>
        <v>70322.303631198316</v>
      </c>
      <c r="J21" s="22">
        <f t="shared" si="1"/>
        <v>70322.303631198316</v>
      </c>
      <c r="L21" s="54">
        <f t="shared" si="33"/>
        <v>176</v>
      </c>
      <c r="M21" s="14">
        <f t="shared" si="10"/>
        <v>3.0895405288658031</v>
      </c>
      <c r="N21" s="7">
        <f t="shared" si="11"/>
        <v>543.75913308038139</v>
      </c>
      <c r="P21" s="15">
        <f t="shared" si="34"/>
        <v>4</v>
      </c>
      <c r="Q21" s="7">
        <f t="shared" si="12"/>
        <v>62.289123565842814</v>
      </c>
      <c r="R21" s="7">
        <f t="shared" si="13"/>
        <v>249.15649426337126</v>
      </c>
      <c r="T21" s="15">
        <f t="shared" si="35"/>
        <v>2</v>
      </c>
      <c r="U21" s="7">
        <f t="shared" si="14"/>
        <v>62.289123565842814</v>
      </c>
      <c r="V21" s="7">
        <f t="shared" si="15"/>
        <v>124.57824713168563</v>
      </c>
      <c r="X21" s="14">
        <f t="shared" si="36"/>
        <v>8</v>
      </c>
      <c r="Y21" s="7">
        <f t="shared" si="16"/>
        <v>186.86737069752846</v>
      </c>
      <c r="Z21" s="22">
        <f t="shared" si="17"/>
        <v>1494.9389655802277</v>
      </c>
      <c r="AB21" s="7">
        <f t="shared" si="18"/>
        <v>108.79621888041177</v>
      </c>
      <c r="AC21" s="7">
        <f t="shared" si="2"/>
        <v>1675.4617707583413</v>
      </c>
      <c r="AE21" s="7">
        <f t="shared" si="37"/>
        <v>15.4</v>
      </c>
      <c r="AF21" s="7">
        <f t="shared" si="19"/>
        <v>466.26950948747913</v>
      </c>
      <c r="AG21" s="22">
        <f t="shared" si="20"/>
        <v>7180.5504461071787</v>
      </c>
      <c r="AH21" s="7">
        <f t="shared" si="38"/>
        <v>32</v>
      </c>
      <c r="AI21" s="7">
        <f t="shared" si="21"/>
        <v>116.56737737186978</v>
      </c>
      <c r="AJ21" s="22">
        <f t="shared" si="22"/>
        <v>3730.156075899833</v>
      </c>
      <c r="AK21" s="22">
        <f t="shared" si="3"/>
        <v>10910.706522007011</v>
      </c>
      <c r="AM21" s="15">
        <f t="shared" si="39"/>
        <v>0.5</v>
      </c>
      <c r="AN21" s="7">
        <f t="shared" si="23"/>
        <v>150.69065063828216</v>
      </c>
      <c r="AO21" s="7">
        <f t="shared" si="24"/>
        <v>75.345325319141082</v>
      </c>
      <c r="AQ21" s="7">
        <f t="shared" si="40"/>
        <v>36</v>
      </c>
      <c r="AR21" s="7">
        <f t="shared" si="25"/>
        <v>34.970213211560896</v>
      </c>
      <c r="AS21" s="22">
        <f t="shared" si="26"/>
        <v>1258.9276756161923</v>
      </c>
      <c r="AT21" s="7">
        <f t="shared" si="41"/>
        <v>60</v>
      </c>
      <c r="AU21" s="7">
        <f t="shared" si="27"/>
        <v>34.970213211560896</v>
      </c>
      <c r="AV21" s="22">
        <f t="shared" si="28"/>
        <v>2098.2127926936537</v>
      </c>
      <c r="AW21" s="22">
        <f t="shared" si="29"/>
        <v>3357.1404683098463</v>
      </c>
      <c r="AY21" s="7">
        <f t="shared" si="42"/>
        <v>231</v>
      </c>
      <c r="AZ21" s="7">
        <f t="shared" si="30"/>
        <v>34.970213211560896</v>
      </c>
      <c r="BA21" s="22">
        <f t="shared" si="4"/>
        <v>8078.1192518705666</v>
      </c>
      <c r="BC21" s="7">
        <f t="shared" si="43"/>
        <v>154</v>
      </c>
      <c r="BD21" s="7"/>
      <c r="BE21" s="21" t="str">
        <f>IF(Grapes!$D$17&lt;0,(+N21+R21+V21+Z21+AC21+AK21+AO21+AW21+BA21+BC21)*Grapes!$D$17/100,IF(Grapes!$D$17&gt;0,(+N21+R21+V21+Z21+AC21+AK21+AO21+AW21+BA21+BC21)*Grapes!$D$17/100,""))</f>
        <v/>
      </c>
      <c r="BF21" s="22">
        <f t="shared" si="31"/>
        <v>26663.206178320572</v>
      </c>
      <c r="BH21" s="21">
        <f t="shared" si="5"/>
        <v>43659.097452877744</v>
      </c>
      <c r="BI21" s="21">
        <f t="shared" si="6"/>
        <v>43659.097452877744</v>
      </c>
      <c r="BK21" s="51">
        <f t="shared" si="7"/>
        <v>5.5848999829153554</v>
      </c>
      <c r="BL21" s="51">
        <f t="shared" si="32"/>
        <v>5.5848999829153554</v>
      </c>
      <c r="BN21" s="7">
        <f>+'Almonds Margin - Baseline'!BN19</f>
        <v>195.44120749449928</v>
      </c>
      <c r="BO21" s="7">
        <f>+'Almonds Margin - Baseline'!BO19</f>
        <v>220.39005481774836</v>
      </c>
      <c r="BP21" s="7">
        <f>+'Almonds Margin - Baseline'!BP19</f>
        <v>194.66752021102243</v>
      </c>
      <c r="BQ21" s="7">
        <f>+'Almonds Margin - Baseline'!BQ19</f>
        <v>124.19444115430356</v>
      </c>
    </row>
    <row r="22" spans="1:69" x14ac:dyDescent="0.2">
      <c r="A22" s="8">
        <f t="shared" si="8"/>
        <v>2036</v>
      </c>
      <c r="B22" s="52">
        <f>+'Grapes Margin - Baseline'!C22</f>
        <v>4712.507619960822</v>
      </c>
      <c r="C22" s="22">
        <f t="shared" si="9"/>
        <v>4712.507619960822</v>
      </c>
      <c r="D22" s="22"/>
      <c r="F22" s="161">
        <f>Grapes!$D$9</f>
        <v>15.4</v>
      </c>
      <c r="G22" s="27"/>
      <c r="I22" s="20">
        <f t="shared" si="0"/>
        <v>72572.617347396663</v>
      </c>
      <c r="J22" s="22">
        <f t="shared" si="1"/>
        <v>72572.617347396663</v>
      </c>
      <c r="L22" s="54">
        <f t="shared" si="33"/>
        <v>176</v>
      </c>
      <c r="M22" s="14">
        <f t="shared" si="10"/>
        <v>3.033146989279337</v>
      </c>
      <c r="N22" s="7">
        <f t="shared" si="11"/>
        <v>533.83387011316336</v>
      </c>
      <c r="P22" s="15">
        <f t="shared" si="34"/>
        <v>4</v>
      </c>
      <c r="Q22" s="7">
        <f t="shared" si="12"/>
        <v>61.152157041922131</v>
      </c>
      <c r="R22" s="7">
        <f t="shared" si="13"/>
        <v>244.60862816768852</v>
      </c>
      <c r="T22" s="15">
        <f t="shared" si="35"/>
        <v>2</v>
      </c>
      <c r="U22" s="7">
        <f t="shared" si="14"/>
        <v>61.152157041922131</v>
      </c>
      <c r="V22" s="7">
        <f t="shared" si="15"/>
        <v>122.30431408384426</v>
      </c>
      <c r="X22" s="14">
        <f t="shared" si="36"/>
        <v>8</v>
      </c>
      <c r="Y22" s="7">
        <f t="shared" si="16"/>
        <v>183.45647112576643</v>
      </c>
      <c r="Z22" s="22">
        <f t="shared" si="17"/>
        <v>1467.6517690061314</v>
      </c>
      <c r="AB22" s="7">
        <f t="shared" si="18"/>
        <v>112.27769788458495</v>
      </c>
      <c r="AC22" s="7">
        <f t="shared" si="2"/>
        <v>1729.0765474226082</v>
      </c>
      <c r="AE22" s="7">
        <f t="shared" si="37"/>
        <v>15.4</v>
      </c>
      <c r="AF22" s="7">
        <f t="shared" si="19"/>
        <v>481.19013379107849</v>
      </c>
      <c r="AG22" s="22">
        <f t="shared" si="20"/>
        <v>7410.3280603826088</v>
      </c>
      <c r="AH22" s="7">
        <f t="shared" si="38"/>
        <v>32</v>
      </c>
      <c r="AI22" s="7">
        <f t="shared" si="21"/>
        <v>120.29753344776962</v>
      </c>
      <c r="AJ22" s="22">
        <f t="shared" si="22"/>
        <v>3849.521070328628</v>
      </c>
      <c r="AK22" s="22">
        <f t="shared" si="3"/>
        <v>11259.849130711236</v>
      </c>
      <c r="AM22" s="15">
        <f t="shared" si="39"/>
        <v>0.5</v>
      </c>
      <c r="AN22" s="7">
        <f t="shared" si="23"/>
        <v>155.51275145870719</v>
      </c>
      <c r="AO22" s="7">
        <f t="shared" si="24"/>
        <v>77.756375729353593</v>
      </c>
      <c r="AQ22" s="7">
        <f t="shared" si="40"/>
        <v>36</v>
      </c>
      <c r="AR22" s="7">
        <f t="shared" si="25"/>
        <v>36.089260034330849</v>
      </c>
      <c r="AS22" s="22">
        <f t="shared" si="26"/>
        <v>1299.2133612359105</v>
      </c>
      <c r="AT22" s="7">
        <f t="shared" si="41"/>
        <v>60</v>
      </c>
      <c r="AU22" s="7">
        <f t="shared" si="27"/>
        <v>36.089260034330849</v>
      </c>
      <c r="AV22" s="22">
        <f t="shared" si="28"/>
        <v>2165.3556020598508</v>
      </c>
      <c r="AW22" s="22">
        <f t="shared" si="29"/>
        <v>3464.568963295761</v>
      </c>
      <c r="AY22" s="7">
        <f t="shared" si="42"/>
        <v>231</v>
      </c>
      <c r="AZ22" s="7">
        <f t="shared" si="30"/>
        <v>36.089260034330849</v>
      </c>
      <c r="BA22" s="22">
        <f t="shared" si="4"/>
        <v>8336.6190679304254</v>
      </c>
      <c r="BC22" s="7">
        <f t="shared" si="43"/>
        <v>154</v>
      </c>
      <c r="BD22" s="7"/>
      <c r="BE22" s="21" t="str">
        <f>IF(Grapes!$D$17&lt;0,(+N22+R22+V22+Z22+AC22+AK22+AO22+AW22+BA22+BC22)*Grapes!$D$17/100,IF(Grapes!$D$17&gt;0,(+N22+R22+V22+Z22+AC22+AK22+AO22+AW22+BA22+BC22)*Grapes!$D$17/100,""))</f>
        <v/>
      </c>
      <c r="BF22" s="22">
        <f t="shared" si="31"/>
        <v>27390.268666460215</v>
      </c>
      <c r="BH22" s="21">
        <f t="shared" si="5"/>
        <v>45182.348680936448</v>
      </c>
      <c r="BI22" s="21">
        <f t="shared" si="6"/>
        <v>45182.348680936448</v>
      </c>
      <c r="BK22" s="51">
        <f t="shared" si="7"/>
        <v>5.5580549573985536</v>
      </c>
      <c r="BL22" s="51">
        <f t="shared" si="32"/>
        <v>5.5580549573985536</v>
      </c>
      <c r="BN22" s="7">
        <f>+'Almonds Margin - Baseline'!BN20</f>
        <v>201.69532613432327</v>
      </c>
      <c r="BO22" s="7">
        <f>+'Almonds Margin - Baseline'!BO20</f>
        <v>227.44253657191632</v>
      </c>
      <c r="BP22" s="7">
        <f>+'Almonds Margin - Baseline'!BP20</f>
        <v>200.89688085777516</v>
      </c>
      <c r="BQ22" s="7">
        <f>+'Almonds Margin - Baseline'!BQ20</f>
        <v>121.92751373638573</v>
      </c>
    </row>
    <row r="23" spans="1:69" x14ac:dyDescent="0.2">
      <c r="A23" s="8">
        <f t="shared" si="8"/>
        <v>2037</v>
      </c>
      <c r="B23" s="52">
        <f>+'Grapes Margin - Baseline'!C23</f>
        <v>4863.3078637995686</v>
      </c>
      <c r="C23" s="22">
        <f t="shared" si="9"/>
        <v>4863.3078637995686</v>
      </c>
      <c r="D23" s="22"/>
      <c r="F23" s="161">
        <f>Grapes!$D$9</f>
        <v>15.4</v>
      </c>
      <c r="G23" s="27"/>
      <c r="I23" s="20">
        <f t="shared" si="0"/>
        <v>74894.94110251336</v>
      </c>
      <c r="J23" s="22">
        <f t="shared" si="1"/>
        <v>74894.94110251336</v>
      </c>
      <c r="L23" s="54">
        <f t="shared" si="33"/>
        <v>176</v>
      </c>
      <c r="M23" s="14">
        <f t="shared" si="10"/>
        <v>2.9836010004371776</v>
      </c>
      <c r="N23" s="7">
        <f t="shared" si="11"/>
        <v>525.11377607694328</v>
      </c>
      <c r="P23" s="15">
        <f t="shared" si="34"/>
        <v>4</v>
      </c>
      <c r="Q23" s="7">
        <f t="shared" si="12"/>
        <v>60.153245976556008</v>
      </c>
      <c r="R23" s="7">
        <f t="shared" si="13"/>
        <v>240.61298390622403</v>
      </c>
      <c r="T23" s="15">
        <f t="shared" si="35"/>
        <v>2</v>
      </c>
      <c r="U23" s="7">
        <f t="shared" si="14"/>
        <v>60.153245976556008</v>
      </c>
      <c r="V23" s="7">
        <f t="shared" si="15"/>
        <v>120.30649195311202</v>
      </c>
      <c r="X23" s="14">
        <f t="shared" si="36"/>
        <v>8</v>
      </c>
      <c r="Y23" s="7">
        <f t="shared" si="16"/>
        <v>180.45973792966805</v>
      </c>
      <c r="Z23" s="22">
        <f t="shared" si="17"/>
        <v>1443.6779034373444</v>
      </c>
      <c r="AB23" s="7">
        <f t="shared" si="18"/>
        <v>115.87058421689167</v>
      </c>
      <c r="AC23" s="7">
        <f t="shared" si="2"/>
        <v>1784.4069969401319</v>
      </c>
      <c r="AE23" s="7">
        <f t="shared" si="37"/>
        <v>15.4</v>
      </c>
      <c r="AF23" s="7">
        <f t="shared" si="19"/>
        <v>496.58821807239303</v>
      </c>
      <c r="AG23" s="22">
        <f t="shared" si="20"/>
        <v>7647.4585583148528</v>
      </c>
      <c r="AH23" s="7">
        <f t="shared" si="38"/>
        <v>32</v>
      </c>
      <c r="AI23" s="7">
        <f t="shared" si="21"/>
        <v>124.14705451809826</v>
      </c>
      <c r="AJ23" s="22">
        <f t="shared" si="22"/>
        <v>3972.7057445791443</v>
      </c>
      <c r="AK23" s="22">
        <f t="shared" si="3"/>
        <v>11620.164302893998</v>
      </c>
      <c r="AM23" s="15">
        <f t="shared" si="39"/>
        <v>0.5</v>
      </c>
      <c r="AN23" s="7">
        <f t="shared" si="23"/>
        <v>160.4891595053858</v>
      </c>
      <c r="AO23" s="7">
        <f t="shared" si="24"/>
        <v>80.2445797526929</v>
      </c>
      <c r="AQ23" s="7">
        <f t="shared" si="40"/>
        <v>36</v>
      </c>
      <c r="AR23" s="7">
        <f t="shared" si="25"/>
        <v>37.244116355429433</v>
      </c>
      <c r="AS23" s="22">
        <f t="shared" si="26"/>
        <v>1340.7881887954595</v>
      </c>
      <c r="AT23" s="7">
        <f t="shared" si="41"/>
        <v>60</v>
      </c>
      <c r="AU23" s="7">
        <f t="shared" si="27"/>
        <v>37.244116355429433</v>
      </c>
      <c r="AV23" s="22">
        <f t="shared" si="28"/>
        <v>2234.6469813257659</v>
      </c>
      <c r="AW23" s="22">
        <f t="shared" si="29"/>
        <v>3575.4351701212254</v>
      </c>
      <c r="AY23" s="7">
        <f t="shared" si="42"/>
        <v>231</v>
      </c>
      <c r="AZ23" s="7">
        <f t="shared" si="30"/>
        <v>37.244116355429433</v>
      </c>
      <c r="BA23" s="22">
        <f t="shared" si="4"/>
        <v>8603.3908781041991</v>
      </c>
      <c r="BC23" s="7">
        <f t="shared" si="43"/>
        <v>154</v>
      </c>
      <c r="BD23" s="7"/>
      <c r="BE23" s="21" t="str">
        <f>IF(Grapes!$D$17&lt;0,(+N23+R23+V23+Z23+AC23+AK23+AO23+AW23+BA23+BC23)*Grapes!$D$17/100,IF(Grapes!$D$17&gt;0,(+N23+R23+V23+Z23+AC23+AK23+AO23+AW23+BA23+BC23)*Grapes!$D$17/100,""))</f>
        <v/>
      </c>
      <c r="BF23" s="22">
        <f t="shared" si="31"/>
        <v>28147.353083185873</v>
      </c>
      <c r="BH23" s="21">
        <f t="shared" si="5"/>
        <v>46747.588019327486</v>
      </c>
      <c r="BI23" s="21">
        <f t="shared" si="6"/>
        <v>46747.588019327486</v>
      </c>
      <c r="BK23" s="51">
        <f t="shared" si="7"/>
        <v>5.5334726375929089</v>
      </c>
      <c r="BL23" s="51">
        <f t="shared" si="32"/>
        <v>5.5334726375929089</v>
      </c>
      <c r="BN23" s="7">
        <f>+'Almonds Margin - Baseline'!BN21</f>
        <v>208.1495765706216</v>
      </c>
      <c r="BO23" s="7">
        <f>+'Almonds Margin - Baseline'!BO21</f>
        <v>234.72069774221765</v>
      </c>
      <c r="BP23" s="7">
        <f>+'Almonds Margin - Baseline'!BP21</f>
        <v>207.32558104522397</v>
      </c>
      <c r="BQ23" s="7">
        <f>+'Almonds Margin - Baseline'!BQ21</f>
        <v>119.93584658128668</v>
      </c>
    </row>
    <row r="24" spans="1:69" x14ac:dyDescent="0.2">
      <c r="A24" s="8">
        <f t="shared" si="8"/>
        <v>2038</v>
      </c>
      <c r="B24" s="52">
        <f>+'Grapes Margin - Baseline'!C24</f>
        <v>5018.9337154411542</v>
      </c>
      <c r="C24" s="22">
        <f t="shared" si="9"/>
        <v>5018.9337154411542</v>
      </c>
      <c r="D24" s="22"/>
      <c r="F24" s="161">
        <f>Grapes!$D$9</f>
        <v>15.4</v>
      </c>
      <c r="G24" s="27"/>
      <c r="I24" s="20">
        <f t="shared" si="0"/>
        <v>77291.579217793769</v>
      </c>
      <c r="J24" s="22">
        <f t="shared" si="1"/>
        <v>77291.579217793769</v>
      </c>
      <c r="L24" s="54">
        <f t="shared" si="33"/>
        <v>176</v>
      </c>
      <c r="M24" s="14">
        <f t="shared" si="10"/>
        <v>2.949854207126879</v>
      </c>
      <c r="N24" s="7">
        <f t="shared" si="11"/>
        <v>519.17434045433072</v>
      </c>
      <c r="P24" s="15">
        <f t="shared" si="34"/>
        <v>4</v>
      </c>
      <c r="Q24" s="7">
        <f t="shared" si="12"/>
        <v>59.472867079170953</v>
      </c>
      <c r="R24" s="7">
        <f t="shared" si="13"/>
        <v>237.89146831668381</v>
      </c>
      <c r="T24" s="15">
        <f t="shared" si="35"/>
        <v>2</v>
      </c>
      <c r="U24" s="7">
        <f t="shared" si="14"/>
        <v>59.472867079170953</v>
      </c>
      <c r="V24" s="7">
        <f t="shared" si="15"/>
        <v>118.94573415834191</v>
      </c>
      <c r="X24" s="14">
        <f t="shared" si="36"/>
        <v>8</v>
      </c>
      <c r="Y24" s="7">
        <f t="shared" si="16"/>
        <v>178.41860123751292</v>
      </c>
      <c r="Z24" s="22">
        <f t="shared" si="17"/>
        <v>1427.3488099001033</v>
      </c>
      <c r="AB24" s="7">
        <f t="shared" si="18"/>
        <v>119.57844291183221</v>
      </c>
      <c r="AC24" s="7">
        <f t="shared" si="2"/>
        <v>1841.5080208422162</v>
      </c>
      <c r="AE24" s="7">
        <f t="shared" si="37"/>
        <v>15.4</v>
      </c>
      <c r="AF24" s="7">
        <f t="shared" si="19"/>
        <v>512.47904105070961</v>
      </c>
      <c r="AG24" s="22">
        <f t="shared" si="20"/>
        <v>7892.1772321809285</v>
      </c>
      <c r="AH24" s="7">
        <f t="shared" si="38"/>
        <v>32</v>
      </c>
      <c r="AI24" s="7">
        <f t="shared" si="21"/>
        <v>128.1197602626774</v>
      </c>
      <c r="AJ24" s="22">
        <f t="shared" si="22"/>
        <v>4099.8323284056769</v>
      </c>
      <c r="AK24" s="22">
        <f t="shared" si="3"/>
        <v>11992.009560586604</v>
      </c>
      <c r="AM24" s="15">
        <f t="shared" si="39"/>
        <v>0.5</v>
      </c>
      <c r="AN24" s="7">
        <f t="shared" si="23"/>
        <v>165.62481260955815</v>
      </c>
      <c r="AO24" s="7">
        <f t="shared" si="24"/>
        <v>82.812406304779074</v>
      </c>
      <c r="AQ24" s="7">
        <f t="shared" si="40"/>
        <v>36</v>
      </c>
      <c r="AR24" s="7">
        <f t="shared" si="25"/>
        <v>38.435928078803173</v>
      </c>
      <c r="AS24" s="22">
        <f t="shared" si="26"/>
        <v>1383.6934108369142</v>
      </c>
      <c r="AT24" s="7">
        <f t="shared" si="41"/>
        <v>60</v>
      </c>
      <c r="AU24" s="7">
        <f t="shared" si="27"/>
        <v>38.435928078803173</v>
      </c>
      <c r="AV24" s="22">
        <f t="shared" si="28"/>
        <v>2306.1556847281904</v>
      </c>
      <c r="AW24" s="22">
        <f t="shared" si="29"/>
        <v>3689.8490955651046</v>
      </c>
      <c r="AY24" s="7">
        <f t="shared" si="42"/>
        <v>231</v>
      </c>
      <c r="AZ24" s="7">
        <f t="shared" si="30"/>
        <v>38.435928078803173</v>
      </c>
      <c r="BA24" s="22">
        <f t="shared" si="4"/>
        <v>8878.6993862035324</v>
      </c>
      <c r="BC24" s="7">
        <f t="shared" si="43"/>
        <v>154</v>
      </c>
      <c r="BD24" s="7"/>
      <c r="BE24" s="21" t="str">
        <f>IF(Grapes!$D$17&lt;0,(+N24+R24+V24+Z24+AC24+AK24+AO24+AW24+BA24+BC24)*Grapes!$D$17/100,IF(Grapes!$D$17&gt;0,(+N24+R24+V24+Z24+AC24+AK24+AO24+AW24+BA24+BC24)*Grapes!$D$17/100,""))</f>
        <v/>
      </c>
      <c r="BF24" s="22">
        <f t="shared" si="31"/>
        <v>28942.238822331696</v>
      </c>
      <c r="BH24" s="21">
        <f t="shared" si="5"/>
        <v>48349.340395462074</v>
      </c>
      <c r="BI24" s="21">
        <f t="shared" si="6"/>
        <v>48349.340395462074</v>
      </c>
      <c r="BK24" s="51">
        <f t="shared" si="7"/>
        <v>5.5124329757535735</v>
      </c>
      <c r="BL24" s="51">
        <f t="shared" si="32"/>
        <v>5.5124329757535735</v>
      </c>
      <c r="BN24" s="7">
        <f>+'Almonds Margin - Baseline'!BN22</f>
        <v>214.81036302088148</v>
      </c>
      <c r="BO24" s="7">
        <f>+'Almonds Margin - Baseline'!BO22</f>
        <v>242.23176006996863</v>
      </c>
      <c r="BP24" s="7">
        <f>+'Almonds Margin - Baseline'!BP22</f>
        <v>213.95999963867115</v>
      </c>
      <c r="BQ24" s="7">
        <f>+'Almonds Margin - Baseline'!BQ22</f>
        <v>118.57928106717092</v>
      </c>
    </row>
    <row r="25" spans="1:69" x14ac:dyDescent="0.2">
      <c r="A25" s="8">
        <f t="shared" si="8"/>
        <v>2039</v>
      </c>
      <c r="B25" s="52">
        <f>+'Grapes Margin - Baseline'!C25</f>
        <v>5179.5395943352714</v>
      </c>
      <c r="C25" s="22">
        <f t="shared" si="9"/>
        <v>5179.5395943352714</v>
      </c>
      <c r="D25" s="22"/>
      <c r="F25" s="161">
        <f>Grapes!$D$9</f>
        <v>15.4</v>
      </c>
      <c r="G25" s="27"/>
      <c r="I25" s="20">
        <f t="shared" si="0"/>
        <v>79764.909752763182</v>
      </c>
      <c r="J25" s="22">
        <f t="shared" si="1"/>
        <v>79764.909752763182</v>
      </c>
      <c r="L25" s="54">
        <f t="shared" si="33"/>
        <v>176</v>
      </c>
      <c r="M25" s="14">
        <f t="shared" si="10"/>
        <v>2.9263529334287832</v>
      </c>
      <c r="N25" s="7">
        <f t="shared" si="11"/>
        <v>515.0381162834658</v>
      </c>
      <c r="P25" s="15">
        <f t="shared" si="34"/>
        <v>4</v>
      </c>
      <c r="Q25" s="7">
        <f t="shared" si="12"/>
        <v>58.999051077193208</v>
      </c>
      <c r="R25" s="7">
        <f t="shared" si="13"/>
        <v>235.99620430877283</v>
      </c>
      <c r="T25" s="15">
        <f t="shared" si="35"/>
        <v>2</v>
      </c>
      <c r="U25" s="7">
        <f t="shared" si="14"/>
        <v>58.999051077193208</v>
      </c>
      <c r="V25" s="7">
        <f t="shared" si="15"/>
        <v>117.99810215438642</v>
      </c>
      <c r="X25" s="14">
        <f t="shared" si="36"/>
        <v>8</v>
      </c>
      <c r="Y25" s="7">
        <f t="shared" si="16"/>
        <v>176.99715323157969</v>
      </c>
      <c r="Z25" s="22">
        <f t="shared" si="17"/>
        <v>1415.9772258526375</v>
      </c>
      <c r="AB25" s="7">
        <f t="shared" si="18"/>
        <v>123.40495308501085</v>
      </c>
      <c r="AC25" s="7">
        <f t="shared" si="2"/>
        <v>1900.436277509167</v>
      </c>
      <c r="AE25" s="7">
        <f t="shared" si="37"/>
        <v>15.4</v>
      </c>
      <c r="AF25" s="7">
        <f t="shared" si="19"/>
        <v>528.87837036433234</v>
      </c>
      <c r="AG25" s="22">
        <f t="shared" si="20"/>
        <v>8144.7269036107182</v>
      </c>
      <c r="AH25" s="7">
        <f t="shared" si="38"/>
        <v>32</v>
      </c>
      <c r="AI25" s="7">
        <f t="shared" si="21"/>
        <v>132.21959259108309</v>
      </c>
      <c r="AJ25" s="22">
        <f t="shared" si="22"/>
        <v>4231.0269629146587</v>
      </c>
      <c r="AK25" s="22">
        <f t="shared" si="3"/>
        <v>12375.753866525378</v>
      </c>
      <c r="AM25" s="15">
        <f t="shared" si="39"/>
        <v>0.5</v>
      </c>
      <c r="AN25" s="7">
        <f t="shared" si="23"/>
        <v>170.92480661306402</v>
      </c>
      <c r="AO25" s="7">
        <f t="shared" si="24"/>
        <v>85.462403306532011</v>
      </c>
      <c r="AQ25" s="7">
        <f t="shared" si="40"/>
        <v>36</v>
      </c>
      <c r="AR25" s="7">
        <f t="shared" si="25"/>
        <v>39.665877777324873</v>
      </c>
      <c r="AS25" s="22">
        <f t="shared" si="26"/>
        <v>1427.9715999836953</v>
      </c>
      <c r="AT25" s="7">
        <f t="shared" si="41"/>
        <v>60</v>
      </c>
      <c r="AU25" s="7">
        <f t="shared" si="27"/>
        <v>39.665877777324873</v>
      </c>
      <c r="AV25" s="22">
        <f t="shared" si="28"/>
        <v>2379.9526666394922</v>
      </c>
      <c r="AW25" s="22">
        <f t="shared" si="29"/>
        <v>3807.9242666231876</v>
      </c>
      <c r="AY25" s="7">
        <f t="shared" si="42"/>
        <v>231</v>
      </c>
      <c r="AZ25" s="7">
        <f t="shared" si="30"/>
        <v>39.665877777324873</v>
      </c>
      <c r="BA25" s="22">
        <f t="shared" si="4"/>
        <v>9162.817766562046</v>
      </c>
      <c r="BC25" s="7">
        <f t="shared" si="43"/>
        <v>154</v>
      </c>
      <c r="BD25" s="7"/>
      <c r="BE25" s="21" t="str">
        <f>IF(Grapes!$D$17&lt;0,(+N25+R25+V25+Z25+AC25+AK25+AO25+AW25+BA25+BC25)*Grapes!$D$17/100,IF(Grapes!$D$17&gt;0,(+N25+R25+V25+Z25+AC25+AK25+AO25+AW25+BA25+BC25)*Grapes!$D$17/100,""))</f>
        <v/>
      </c>
      <c r="BF25" s="22">
        <f t="shared" si="31"/>
        <v>29771.404229125576</v>
      </c>
      <c r="BH25" s="21">
        <f t="shared" si="5"/>
        <v>49993.505523637607</v>
      </c>
      <c r="BI25" s="21">
        <f t="shared" si="6"/>
        <v>49993.505523637607</v>
      </c>
      <c r="BK25" s="51">
        <f t="shared" si="7"/>
        <v>5.4938014389141694</v>
      </c>
      <c r="BL25" s="51">
        <f t="shared" si="32"/>
        <v>5.4938014389141694</v>
      </c>
      <c r="BN25" s="7">
        <f>+'Almonds Margin - Baseline'!BN23</f>
        <v>221.6842946375497</v>
      </c>
      <c r="BO25" s="7">
        <f>+'Almonds Margin - Baseline'!BO23</f>
        <v>249.98317639220764</v>
      </c>
      <c r="BP25" s="7">
        <f>+'Almonds Margin - Baseline'!BP23</f>
        <v>220.80671962710863</v>
      </c>
      <c r="BQ25" s="7">
        <f>+'Almonds Margin - Baseline'!BQ23</f>
        <v>117.63456856831245</v>
      </c>
    </row>
    <row r="26" spans="1:69" x14ac:dyDescent="0.2">
      <c r="A26" s="8">
        <f t="shared" si="8"/>
        <v>2040</v>
      </c>
      <c r="B26" s="52">
        <f>+'Grapes Margin - Baseline'!C26</f>
        <v>5345.284861354</v>
      </c>
      <c r="C26" s="22">
        <f t="shared" si="9"/>
        <v>5345.284861354</v>
      </c>
      <c r="D26" s="22"/>
      <c r="F26" s="161">
        <f>Grapes!$D$9</f>
        <v>15.4</v>
      </c>
      <c r="G26" s="27"/>
      <c r="I26" s="20">
        <f t="shared" si="0"/>
        <v>82317.386864851607</v>
      </c>
      <c r="J26" s="22">
        <f t="shared" si="1"/>
        <v>82317.386864851607</v>
      </c>
      <c r="L26" s="54">
        <f t="shared" si="33"/>
        <v>176</v>
      </c>
      <c r="M26" s="14">
        <f t="shared" si="10"/>
        <v>2.9179256397426121</v>
      </c>
      <c r="N26" s="7">
        <f t="shared" si="11"/>
        <v>513.55491259469977</v>
      </c>
      <c r="P26" s="15">
        <f t="shared" si="34"/>
        <v>4</v>
      </c>
      <c r="Q26" s="7">
        <f t="shared" si="12"/>
        <v>58.829145962552666</v>
      </c>
      <c r="R26" s="7">
        <f t="shared" si="13"/>
        <v>235.31658385021066</v>
      </c>
      <c r="T26" s="15">
        <f t="shared" si="35"/>
        <v>2</v>
      </c>
      <c r="U26" s="7">
        <f t="shared" si="14"/>
        <v>58.829145962552666</v>
      </c>
      <c r="V26" s="7">
        <f t="shared" si="15"/>
        <v>117.65829192510533</v>
      </c>
      <c r="X26" s="14">
        <f t="shared" si="36"/>
        <v>8</v>
      </c>
      <c r="Y26" s="7">
        <f t="shared" si="16"/>
        <v>176.48743788765807</v>
      </c>
      <c r="Z26" s="22">
        <f t="shared" si="17"/>
        <v>1411.8995031012646</v>
      </c>
      <c r="AB26" s="7">
        <f t="shared" si="18"/>
        <v>127.35391158373119</v>
      </c>
      <c r="AC26" s="7">
        <f t="shared" si="2"/>
        <v>1961.2502383894603</v>
      </c>
      <c r="AE26" s="7">
        <f t="shared" si="37"/>
        <v>15.4</v>
      </c>
      <c r="AF26" s="7">
        <f t="shared" si="19"/>
        <v>545.80247821599096</v>
      </c>
      <c r="AG26" s="22">
        <f t="shared" si="20"/>
        <v>8405.3581645262602</v>
      </c>
      <c r="AH26" s="7">
        <f t="shared" si="38"/>
        <v>32</v>
      </c>
      <c r="AI26" s="7">
        <f t="shared" si="21"/>
        <v>136.45061955399774</v>
      </c>
      <c r="AJ26" s="22">
        <f t="shared" si="22"/>
        <v>4366.4198257279277</v>
      </c>
      <c r="AK26" s="22">
        <f t="shared" si="3"/>
        <v>12771.777990254188</v>
      </c>
      <c r="AM26" s="15">
        <f t="shared" si="39"/>
        <v>0.5</v>
      </c>
      <c r="AN26" s="7">
        <f t="shared" si="23"/>
        <v>176.39440042468206</v>
      </c>
      <c r="AO26" s="7">
        <f t="shared" si="24"/>
        <v>88.197200212341031</v>
      </c>
      <c r="AQ26" s="7">
        <f t="shared" si="40"/>
        <v>36</v>
      </c>
      <c r="AR26" s="7">
        <f t="shared" si="25"/>
        <v>40.935185866199269</v>
      </c>
      <c r="AS26" s="22">
        <f t="shared" si="26"/>
        <v>1473.6666911831737</v>
      </c>
      <c r="AT26" s="7">
        <f t="shared" si="41"/>
        <v>60</v>
      </c>
      <c r="AU26" s="7">
        <f t="shared" si="27"/>
        <v>40.935185866199269</v>
      </c>
      <c r="AV26" s="22">
        <f t="shared" si="28"/>
        <v>2456.1111519719561</v>
      </c>
      <c r="AW26" s="22">
        <f t="shared" si="29"/>
        <v>3929.7778431551296</v>
      </c>
      <c r="AY26" s="7">
        <f t="shared" si="42"/>
        <v>231</v>
      </c>
      <c r="AZ26" s="7">
        <f t="shared" si="30"/>
        <v>40.935185866199269</v>
      </c>
      <c r="BA26" s="22">
        <f t="shared" si="4"/>
        <v>9456.0279350920318</v>
      </c>
      <c r="BC26" s="7">
        <f t="shared" si="43"/>
        <v>154</v>
      </c>
      <c r="BD26" s="7"/>
      <c r="BE26" s="21" t="str">
        <f>IF(Grapes!$D$17&lt;0,(+N26+R26+V26+Z26+AC26+AK26+AO26+AW26+BA26+BC26)*Grapes!$D$17/100,IF(Grapes!$D$17&gt;0,(+N26+R26+V26+Z26+AC26+AK26+AO26+AW26+BA26+BC26)*Grapes!$D$17/100,""))</f>
        <v/>
      </c>
      <c r="BF26" s="22">
        <f t="shared" si="31"/>
        <v>30639.46049857443</v>
      </c>
      <c r="BH26" s="21">
        <f t="shared" si="5"/>
        <v>51677.926366277177</v>
      </c>
      <c r="BI26" s="21">
        <f t="shared" si="6"/>
        <v>51677.926366277177</v>
      </c>
      <c r="BK26" s="51">
        <f t="shared" si="7"/>
        <v>5.4781233965554055</v>
      </c>
      <c r="BL26" s="51">
        <f t="shared" si="32"/>
        <v>5.4781233965554055</v>
      </c>
      <c r="BN26" s="7">
        <f>+'Almonds Margin - Baseline'!BN24</f>
        <v>228.77819206595129</v>
      </c>
      <c r="BO26" s="7">
        <f>+'Almonds Margin - Baseline'!BO24</f>
        <v>257.98263803675826</v>
      </c>
      <c r="BP26" s="7">
        <f>+'Almonds Margin - Baseline'!BP24</f>
        <v>227.87253465517611</v>
      </c>
      <c r="BQ26" s="7">
        <f>+'Almonds Margin - Baseline'!BQ24</f>
        <v>117.29580524087962</v>
      </c>
    </row>
    <row r="27" spans="1:69" x14ac:dyDescent="0.2">
      <c r="A27" s="8">
        <f t="shared" si="8"/>
        <v>2041</v>
      </c>
      <c r="B27" s="52">
        <f>+'Grapes Margin - Baseline'!C27</f>
        <v>5516.3339769173281</v>
      </c>
      <c r="C27" s="22">
        <f t="shared" si="9"/>
        <v>5516.3339769173281</v>
      </c>
      <c r="D27" s="22"/>
      <c r="F27" s="161">
        <f>Grapes!$D$9</f>
        <v>15.4</v>
      </c>
      <c r="G27" s="27"/>
      <c r="I27" s="20">
        <f t="shared" si="0"/>
        <v>84951.543244526853</v>
      </c>
      <c r="J27" s="22">
        <f t="shared" si="1"/>
        <v>84951.543244526853</v>
      </c>
      <c r="L27" s="54">
        <f t="shared" si="33"/>
        <v>176</v>
      </c>
      <c r="M27" s="14">
        <f t="shared" si="10"/>
        <v>2.9199930637697413</v>
      </c>
      <c r="N27" s="7">
        <f t="shared" si="11"/>
        <v>513.91877922347453</v>
      </c>
      <c r="P27" s="15">
        <f t="shared" si="34"/>
        <v>4</v>
      </c>
      <c r="Q27" s="7">
        <f t="shared" si="12"/>
        <v>58.870827898583499</v>
      </c>
      <c r="R27" s="7">
        <f t="shared" si="13"/>
        <v>235.483311594334</v>
      </c>
      <c r="T27" s="15">
        <f t="shared" si="35"/>
        <v>2</v>
      </c>
      <c r="U27" s="7">
        <f t="shared" si="14"/>
        <v>58.870827898583499</v>
      </c>
      <c r="V27" s="7">
        <f t="shared" si="15"/>
        <v>117.741655797167</v>
      </c>
      <c r="X27" s="14">
        <f t="shared" si="36"/>
        <v>8</v>
      </c>
      <c r="Y27" s="7">
        <f t="shared" si="16"/>
        <v>176.61248369575057</v>
      </c>
      <c r="Z27" s="22">
        <f t="shared" si="17"/>
        <v>1412.8998695660046</v>
      </c>
      <c r="AB27" s="7">
        <f t="shared" si="18"/>
        <v>131.4292367544106</v>
      </c>
      <c r="AC27" s="7">
        <f t="shared" si="2"/>
        <v>2024.0102460179232</v>
      </c>
      <c r="AE27" s="7">
        <f t="shared" si="37"/>
        <v>15.4</v>
      </c>
      <c r="AF27" s="7">
        <f t="shared" si="19"/>
        <v>563.26815751890274</v>
      </c>
      <c r="AG27" s="22">
        <f t="shared" si="20"/>
        <v>8674.3296257911024</v>
      </c>
      <c r="AH27" s="7">
        <f t="shared" si="38"/>
        <v>32</v>
      </c>
      <c r="AI27" s="7">
        <f t="shared" si="21"/>
        <v>140.81703937972568</v>
      </c>
      <c r="AJ27" s="22">
        <f t="shared" si="22"/>
        <v>4506.1452601512219</v>
      </c>
      <c r="AK27" s="22">
        <f t="shared" si="3"/>
        <v>13180.474885942323</v>
      </c>
      <c r="AM27" s="15">
        <f t="shared" si="39"/>
        <v>0.5</v>
      </c>
      <c r="AN27" s="7">
        <f t="shared" si="23"/>
        <v>182.03902123827189</v>
      </c>
      <c r="AO27" s="7">
        <f t="shared" si="24"/>
        <v>91.019510619135943</v>
      </c>
      <c r="AQ27" s="7">
        <f t="shared" si="40"/>
        <v>36</v>
      </c>
      <c r="AR27" s="7">
        <f t="shared" si="25"/>
        <v>42.245111813917646</v>
      </c>
      <c r="AS27" s="22">
        <f t="shared" si="26"/>
        <v>1520.8240253010354</v>
      </c>
      <c r="AT27" s="7">
        <f t="shared" si="41"/>
        <v>60</v>
      </c>
      <c r="AU27" s="7">
        <f t="shared" si="27"/>
        <v>42.245111813917646</v>
      </c>
      <c r="AV27" s="22">
        <f t="shared" si="28"/>
        <v>2534.7067088350586</v>
      </c>
      <c r="AW27" s="22">
        <f t="shared" si="29"/>
        <v>4055.530734136094</v>
      </c>
      <c r="AY27" s="7">
        <f t="shared" si="42"/>
        <v>231</v>
      </c>
      <c r="AZ27" s="7">
        <f t="shared" si="30"/>
        <v>42.245111813917646</v>
      </c>
      <c r="BA27" s="22">
        <f t="shared" si="4"/>
        <v>9758.6208290149771</v>
      </c>
      <c r="BC27" s="7">
        <f t="shared" si="43"/>
        <v>154</v>
      </c>
      <c r="BD27" s="7"/>
      <c r="BE27" s="21" t="str">
        <f>IF(Grapes!$D$17&lt;0,(+N27+R27+V27+Z27+AC27+AK27+AO27+AW27+BA27+BC27)*Grapes!$D$17/100,IF(Grapes!$D$17&gt;0,(+N27+R27+V27+Z27+AC27+AK27+AO27+AW27+BA27+BC27)*Grapes!$D$17/100,""))</f>
        <v/>
      </c>
      <c r="BF27" s="22">
        <f t="shared" si="31"/>
        <v>31543.699821911432</v>
      </c>
      <c r="BH27" s="21">
        <f t="shared" si="5"/>
        <v>53407.84342261542</v>
      </c>
      <c r="BI27" s="21">
        <f t="shared" si="6"/>
        <v>53407.84342261542</v>
      </c>
      <c r="BK27" s="51">
        <f t="shared" si="7"/>
        <v>5.4644976038416431</v>
      </c>
      <c r="BL27" s="51">
        <f t="shared" si="32"/>
        <v>5.4644976038416431</v>
      </c>
      <c r="BN27" s="7">
        <f>+'Almonds Margin - Baseline'!BN25</f>
        <v>236.09909421206174</v>
      </c>
      <c r="BO27" s="7">
        <f>+'Almonds Margin - Baseline'!BO25</f>
        <v>266.23808245393451</v>
      </c>
      <c r="BP27" s="7">
        <f>+'Almonds Margin - Baseline'!BP25</f>
        <v>235.16445576414174</v>
      </c>
      <c r="BQ27" s="7">
        <f>+'Almonds Margin - Baseline'!BQ25</f>
        <v>117.37891228196852</v>
      </c>
    </row>
    <row r="28" spans="1:69" x14ac:dyDescent="0.2">
      <c r="A28" s="8">
        <f t="shared" si="8"/>
        <v>2042</v>
      </c>
      <c r="B28" s="52">
        <f>+'Grapes Margin - Baseline'!C28</f>
        <v>5692.8566641786829</v>
      </c>
      <c r="C28" s="22">
        <f t="shared" si="9"/>
        <v>5692.8566641786829</v>
      </c>
      <c r="D28" s="22"/>
      <c r="F28" s="161">
        <f>Grapes!$D$9</f>
        <v>15.4</v>
      </c>
      <c r="G28" s="27"/>
      <c r="I28" s="20">
        <f t="shared" si="0"/>
        <v>87669.992628351712</v>
      </c>
      <c r="J28" s="22">
        <f t="shared" si="1"/>
        <v>87669.992628351712</v>
      </c>
      <c r="L28" s="54">
        <f t="shared" si="33"/>
        <v>176</v>
      </c>
      <c r="M28" s="14">
        <f t="shared" si="10"/>
        <v>2.9349436210488418</v>
      </c>
      <c r="N28" s="7">
        <f t="shared" si="11"/>
        <v>516.55007730459613</v>
      </c>
      <c r="P28" s="15">
        <f t="shared" si="34"/>
        <v>4</v>
      </c>
      <c r="Q28" s="7">
        <f t="shared" si="12"/>
        <v>59.172250424371818</v>
      </c>
      <c r="R28" s="7">
        <f t="shared" si="13"/>
        <v>236.68900169748727</v>
      </c>
      <c r="T28" s="15">
        <f t="shared" si="35"/>
        <v>2</v>
      </c>
      <c r="U28" s="7">
        <f t="shared" si="14"/>
        <v>59.172250424371818</v>
      </c>
      <c r="V28" s="7">
        <f t="shared" si="15"/>
        <v>118.34450084874364</v>
      </c>
      <c r="X28" s="14">
        <f t="shared" si="36"/>
        <v>8</v>
      </c>
      <c r="Y28" s="7">
        <f t="shared" si="16"/>
        <v>177.51675127311555</v>
      </c>
      <c r="Z28" s="22">
        <f t="shared" si="17"/>
        <v>1420.1340101849244</v>
      </c>
      <c r="AB28" s="7">
        <f t="shared" si="18"/>
        <v>135.63497233055173</v>
      </c>
      <c r="AC28" s="7">
        <f t="shared" si="2"/>
        <v>2088.7785738904968</v>
      </c>
      <c r="AE28" s="7">
        <f t="shared" si="37"/>
        <v>15.4</v>
      </c>
      <c r="AF28" s="7">
        <f t="shared" si="19"/>
        <v>581.2927385595076</v>
      </c>
      <c r="AG28" s="22">
        <f t="shared" si="20"/>
        <v>8951.9081738164168</v>
      </c>
      <c r="AH28" s="7">
        <f t="shared" si="38"/>
        <v>32</v>
      </c>
      <c r="AI28" s="7">
        <f t="shared" si="21"/>
        <v>145.3231846398769</v>
      </c>
      <c r="AJ28" s="22">
        <f t="shared" si="22"/>
        <v>4650.3419084760608</v>
      </c>
      <c r="AK28" s="22">
        <f t="shared" si="3"/>
        <v>13602.250082292478</v>
      </c>
      <c r="AM28" s="15">
        <f t="shared" si="39"/>
        <v>0.5</v>
      </c>
      <c r="AN28" s="7">
        <f t="shared" si="23"/>
        <v>187.86426991789659</v>
      </c>
      <c r="AO28" s="7">
        <f t="shared" si="24"/>
        <v>93.932134958948296</v>
      </c>
      <c r="AQ28" s="7">
        <f t="shared" si="40"/>
        <v>36</v>
      </c>
      <c r="AR28" s="7">
        <f t="shared" si="25"/>
        <v>43.596955391963007</v>
      </c>
      <c r="AS28" s="22">
        <f t="shared" si="26"/>
        <v>1569.4903941106681</v>
      </c>
      <c r="AT28" s="7">
        <f t="shared" si="41"/>
        <v>60</v>
      </c>
      <c r="AU28" s="7">
        <f t="shared" si="27"/>
        <v>43.596955391963007</v>
      </c>
      <c r="AV28" s="22">
        <f t="shared" si="28"/>
        <v>2615.8173235177806</v>
      </c>
      <c r="AW28" s="22">
        <f t="shared" si="29"/>
        <v>4185.3077176284487</v>
      </c>
      <c r="AY28" s="7">
        <f t="shared" si="42"/>
        <v>231</v>
      </c>
      <c r="AZ28" s="7">
        <f t="shared" si="30"/>
        <v>43.596955391963007</v>
      </c>
      <c r="BA28" s="22">
        <f t="shared" si="4"/>
        <v>10070.896695543455</v>
      </c>
      <c r="BC28" s="7">
        <f t="shared" si="43"/>
        <v>154</v>
      </c>
      <c r="BD28" s="7"/>
      <c r="BE28" s="21" t="str">
        <f>IF(Grapes!$D$17&lt;0,(+N28+R28+V28+Z28+AC28+AK28+AO28+AW28+BA28+BC28)*Grapes!$D$17/100,IF(Grapes!$D$17&gt;0,(+N28+R28+V28+Z28+AC28+AK28+AO28+AW28+BA28+BC28)*Grapes!$D$17/100,""))</f>
        <v/>
      </c>
      <c r="BF28" s="22">
        <f t="shared" si="31"/>
        <v>32486.882794349578</v>
      </c>
      <c r="BH28" s="21">
        <f t="shared" si="5"/>
        <v>55183.109834002134</v>
      </c>
      <c r="BI28" s="21">
        <f t="shared" si="6"/>
        <v>55183.109834002134</v>
      </c>
      <c r="BK28" s="51">
        <f t="shared" si="7"/>
        <v>5.4531004890972969</v>
      </c>
      <c r="BL28" s="51">
        <f t="shared" si="32"/>
        <v>5.4531004890972969</v>
      </c>
      <c r="BN28" s="7">
        <f>+'Almonds Margin - Baseline'!BN26</f>
        <v>243.65426522684771</v>
      </c>
      <c r="BO28" s="7">
        <f>+'Almonds Margin - Baseline'!BO26</f>
        <v>274.75770109246042</v>
      </c>
      <c r="BP28" s="7">
        <f>+'Almonds Margin - Baseline'!BP26</f>
        <v>242.68971834859428</v>
      </c>
      <c r="BQ28" s="7">
        <f>+'Almonds Margin - Baseline'!BQ26</f>
        <v>117.9799000627972</v>
      </c>
    </row>
    <row r="29" spans="1:69" x14ac:dyDescent="0.2">
      <c r="A29" s="8">
        <f t="shared" si="8"/>
        <v>2043</v>
      </c>
      <c r="B29" s="52">
        <f>+'Grapes Margin - Baseline'!C29</f>
        <v>5875.028077432401</v>
      </c>
      <c r="C29" s="22">
        <f t="shared" si="9"/>
        <v>5875.028077432401</v>
      </c>
      <c r="D29" s="22"/>
      <c r="F29" s="161">
        <f>Grapes!$D$9</f>
        <v>15.4</v>
      </c>
      <c r="G29" s="27"/>
      <c r="I29" s="20">
        <f t="shared" si="0"/>
        <v>90475.432392458984</v>
      </c>
      <c r="J29" s="22">
        <f t="shared" si="1"/>
        <v>90475.432392458984</v>
      </c>
      <c r="L29" s="54">
        <f t="shared" si="33"/>
        <v>176</v>
      </c>
      <c r="M29" s="14">
        <f t="shared" si="10"/>
        <v>2.9588143494022732</v>
      </c>
      <c r="N29" s="7">
        <f t="shared" si="11"/>
        <v>520.75132549480008</v>
      </c>
      <c r="P29" s="15">
        <f t="shared" si="34"/>
        <v>4</v>
      </c>
      <c r="Q29" s="7">
        <f t="shared" si="12"/>
        <v>59.653515108916807</v>
      </c>
      <c r="R29" s="7">
        <f t="shared" si="13"/>
        <v>238.61406043566723</v>
      </c>
      <c r="T29" s="15">
        <f t="shared" si="35"/>
        <v>2</v>
      </c>
      <c r="U29" s="7">
        <f t="shared" si="14"/>
        <v>59.653515108916807</v>
      </c>
      <c r="V29" s="7">
        <f t="shared" si="15"/>
        <v>119.30703021783361</v>
      </c>
      <c r="X29" s="14">
        <f t="shared" si="36"/>
        <v>8</v>
      </c>
      <c r="Y29" s="7">
        <f t="shared" si="16"/>
        <v>178.96054532675052</v>
      </c>
      <c r="Z29" s="22">
        <f t="shared" si="17"/>
        <v>1431.6843626140042</v>
      </c>
      <c r="AB29" s="7">
        <f t="shared" si="18"/>
        <v>139.97529144512939</v>
      </c>
      <c r="AC29" s="7">
        <f t="shared" si="2"/>
        <v>2155.6194882549926</v>
      </c>
      <c r="AE29" s="7">
        <f t="shared" si="37"/>
        <v>15.4</v>
      </c>
      <c r="AF29" s="7">
        <f t="shared" si="19"/>
        <v>599.89410619341186</v>
      </c>
      <c r="AG29" s="22">
        <f t="shared" si="20"/>
        <v>9238.3692353785427</v>
      </c>
      <c r="AH29" s="7">
        <f t="shared" si="38"/>
        <v>32</v>
      </c>
      <c r="AI29" s="7">
        <f t="shared" si="21"/>
        <v>149.97352654835296</v>
      </c>
      <c r="AJ29" s="22">
        <f t="shared" si="22"/>
        <v>4799.1528495472949</v>
      </c>
      <c r="AK29" s="22">
        <f t="shared" si="3"/>
        <v>14037.522084925837</v>
      </c>
      <c r="AM29" s="15">
        <f t="shared" si="39"/>
        <v>0.5</v>
      </c>
      <c r="AN29" s="7">
        <f t="shared" si="23"/>
        <v>193.8759265552693</v>
      </c>
      <c r="AO29" s="7">
        <f t="shared" si="24"/>
        <v>96.937963277634651</v>
      </c>
      <c r="AQ29" s="7">
        <f t="shared" si="40"/>
        <v>36</v>
      </c>
      <c r="AR29" s="7">
        <f t="shared" si="25"/>
        <v>44.992057964505818</v>
      </c>
      <c r="AS29" s="22">
        <f t="shared" si="26"/>
        <v>1619.7140867222095</v>
      </c>
      <c r="AT29" s="7">
        <f t="shared" si="41"/>
        <v>60</v>
      </c>
      <c r="AU29" s="7">
        <f t="shared" si="27"/>
        <v>44.992057964505818</v>
      </c>
      <c r="AV29" s="22">
        <f t="shared" si="28"/>
        <v>2699.5234778703489</v>
      </c>
      <c r="AW29" s="22">
        <f t="shared" si="29"/>
        <v>4319.2375645925586</v>
      </c>
      <c r="AY29" s="7">
        <f t="shared" si="42"/>
        <v>231</v>
      </c>
      <c r="AZ29" s="7">
        <f t="shared" si="30"/>
        <v>44.992057964505818</v>
      </c>
      <c r="BA29" s="22">
        <f t="shared" si="4"/>
        <v>10393.165389800844</v>
      </c>
      <c r="BC29" s="7">
        <f t="shared" si="43"/>
        <v>154</v>
      </c>
      <c r="BD29" s="7"/>
      <c r="BE29" s="21" t="str">
        <f>IF(Grapes!$D$17&lt;0,(+N29+R29+V29+Z29+AC29+AK29+AO29+AW29+BA29+BC29)*Grapes!$D$17/100,IF(Grapes!$D$17&gt;0,(+N29+R29+V29+Z29+AC29+AK29+AO29+AW29+BA29+BC29)*Grapes!$D$17/100,""))</f>
        <v/>
      </c>
      <c r="BF29" s="22">
        <f t="shared" si="31"/>
        <v>33466.839269614175</v>
      </c>
      <c r="BH29" s="21">
        <f t="shared" si="5"/>
        <v>57008.59312284481</v>
      </c>
      <c r="BI29" s="21">
        <f t="shared" si="6"/>
        <v>57008.59312284481</v>
      </c>
      <c r="BK29" s="51">
        <f t="shared" si="7"/>
        <v>5.443209723298394</v>
      </c>
      <c r="BL29" s="51">
        <f t="shared" si="32"/>
        <v>5.443209723298394</v>
      </c>
      <c r="BN29" s="7">
        <f>+'Almonds Margin - Baseline'!BN27</f>
        <v>251.45120171410684</v>
      </c>
      <c r="BO29" s="7">
        <f>+'Almonds Margin - Baseline'!BO27</f>
        <v>283.54994752741914</v>
      </c>
      <c r="BP29" s="7">
        <f>+'Almonds Margin - Baseline'!BP27</f>
        <v>250.4557893357493</v>
      </c>
      <c r="BQ29" s="7">
        <f>+'Almonds Margin - Baseline'!BQ27</f>
        <v>118.93946403035226</v>
      </c>
    </row>
    <row r="30" spans="1:69" x14ac:dyDescent="0.2">
      <c r="A30" s="8">
        <f t="shared" si="8"/>
        <v>2044</v>
      </c>
      <c r="B30" s="52">
        <f>+'Grapes Margin - Baseline'!C30</f>
        <v>6063.0289759102379</v>
      </c>
      <c r="C30" s="22">
        <f t="shared" si="9"/>
        <v>6063.0289759102379</v>
      </c>
      <c r="D30" s="22"/>
      <c r="F30" s="161">
        <f>Grapes!$D$9</f>
        <v>15.4</v>
      </c>
      <c r="G30" s="27"/>
      <c r="I30" s="20">
        <f t="shared" si="0"/>
        <v>93370.646229017671</v>
      </c>
      <c r="J30" s="22">
        <f t="shared" si="1"/>
        <v>93370.646229017671</v>
      </c>
      <c r="L30" s="54">
        <f t="shared" si="33"/>
        <v>176</v>
      </c>
      <c r="M30" s="14">
        <f t="shared" si="10"/>
        <v>2.9924325465717829</v>
      </c>
      <c r="N30" s="7">
        <f t="shared" si="11"/>
        <v>526.6681281966338</v>
      </c>
      <c r="P30" s="15">
        <f t="shared" si="34"/>
        <v>4</v>
      </c>
      <c r="Q30" s="7">
        <f t="shared" si="12"/>
        <v>60.331301342173049</v>
      </c>
      <c r="R30" s="7">
        <f t="shared" si="13"/>
        <v>241.3252053686922</v>
      </c>
      <c r="T30" s="15">
        <f t="shared" si="35"/>
        <v>2</v>
      </c>
      <c r="U30" s="7">
        <f t="shared" si="14"/>
        <v>60.331301342173049</v>
      </c>
      <c r="V30" s="7">
        <f t="shared" si="15"/>
        <v>120.6626026843461</v>
      </c>
      <c r="X30" s="14">
        <f t="shared" si="36"/>
        <v>8</v>
      </c>
      <c r="Y30" s="7">
        <f t="shared" si="16"/>
        <v>180.99390402651926</v>
      </c>
      <c r="Z30" s="22">
        <f t="shared" si="17"/>
        <v>1447.9512322121541</v>
      </c>
      <c r="AB30" s="7">
        <f t="shared" si="18"/>
        <v>144.45450077137352</v>
      </c>
      <c r="AC30" s="7">
        <f t="shared" si="2"/>
        <v>2224.5993118791521</v>
      </c>
      <c r="AE30" s="7">
        <f t="shared" si="37"/>
        <v>15.4</v>
      </c>
      <c r="AF30" s="7">
        <f t="shared" si="19"/>
        <v>619.09071759160111</v>
      </c>
      <c r="AG30" s="22">
        <f t="shared" si="20"/>
        <v>9533.997050910657</v>
      </c>
      <c r="AH30" s="7">
        <f t="shared" si="38"/>
        <v>32</v>
      </c>
      <c r="AI30" s="7">
        <f t="shared" si="21"/>
        <v>154.77267939790028</v>
      </c>
      <c r="AJ30" s="22">
        <f t="shared" si="22"/>
        <v>4952.7257407328088</v>
      </c>
      <c r="AK30" s="22">
        <f t="shared" si="3"/>
        <v>14486.722791643466</v>
      </c>
      <c r="AM30" s="15">
        <f t="shared" si="39"/>
        <v>0.5</v>
      </c>
      <c r="AN30" s="7">
        <f t="shared" si="23"/>
        <v>200.07995620503792</v>
      </c>
      <c r="AO30" s="7">
        <f t="shared" si="24"/>
        <v>100.03997810251896</v>
      </c>
      <c r="AQ30" s="7">
        <f t="shared" si="40"/>
        <v>36</v>
      </c>
      <c r="AR30" s="7">
        <f t="shared" si="25"/>
        <v>46.431803819370003</v>
      </c>
      <c r="AS30" s="22">
        <f t="shared" si="26"/>
        <v>1671.54493749732</v>
      </c>
      <c r="AT30" s="7">
        <f t="shared" si="41"/>
        <v>60</v>
      </c>
      <c r="AU30" s="7">
        <f t="shared" si="27"/>
        <v>46.431803819370003</v>
      </c>
      <c r="AV30" s="22">
        <f t="shared" si="28"/>
        <v>2785.9082291622003</v>
      </c>
      <c r="AW30" s="22">
        <f t="shared" si="29"/>
        <v>4457.4531666595203</v>
      </c>
      <c r="AY30" s="7">
        <f t="shared" si="42"/>
        <v>231</v>
      </c>
      <c r="AZ30" s="7">
        <f t="shared" si="30"/>
        <v>46.431803819370003</v>
      </c>
      <c r="BA30" s="22">
        <f t="shared" si="4"/>
        <v>10725.74668227447</v>
      </c>
      <c r="BC30" s="7">
        <f t="shared" si="43"/>
        <v>154</v>
      </c>
      <c r="BD30" s="7"/>
      <c r="BE30" s="21" t="str">
        <f>IF(Grapes!$D$17&lt;0,(+N30+R30+V30+Z30+AC30+AK30+AO30+AW30+BA30+BC30)*Grapes!$D$17/100,IF(Grapes!$D$17&gt;0,(+N30+R30+V30+Z30+AC30+AK30+AO30+AW30+BA30+BC30)*Grapes!$D$17/100,""))</f>
        <v/>
      </c>
      <c r="BF30" s="22">
        <f t="shared" si="31"/>
        <v>34485.169099020954</v>
      </c>
      <c r="BH30" s="21">
        <f t="shared" si="5"/>
        <v>58885.477129996718</v>
      </c>
      <c r="BI30" s="21">
        <f t="shared" si="6"/>
        <v>58885.477129996718</v>
      </c>
      <c r="BK30" s="51">
        <f t="shared" si="7"/>
        <v>5.4348142240537891</v>
      </c>
      <c r="BL30" s="51">
        <f t="shared" si="32"/>
        <v>5.4348142240537891</v>
      </c>
      <c r="BN30" s="7">
        <f>+'Almonds Margin - Baseline'!BN28</f>
        <v>259.49764016895824</v>
      </c>
      <c r="BO30" s="7">
        <f>+'Almonds Margin - Baseline'!BO28</f>
        <v>292.62354584829654</v>
      </c>
      <c r="BP30" s="7">
        <f>+'Almonds Margin - Baseline'!BP28</f>
        <v>258.47037459449325</v>
      </c>
      <c r="BQ30" s="7">
        <f>+'Almonds Margin - Baseline'!BQ28</f>
        <v>120.29086019139086</v>
      </c>
    </row>
    <row r="31" spans="1:69" x14ac:dyDescent="0.2">
      <c r="A31" s="8">
        <f t="shared" si="8"/>
        <v>2045</v>
      </c>
      <c r="B31" s="52">
        <f>+'Grapes Margin - Baseline'!C31</f>
        <v>6257.0459031393648</v>
      </c>
      <c r="C31" s="22">
        <f t="shared" si="9"/>
        <v>6257.0459031393648</v>
      </c>
      <c r="D31" s="22"/>
      <c r="F31" s="161">
        <f>Grapes!$D$9</f>
        <v>15.4</v>
      </c>
      <c r="G31" s="27"/>
      <c r="I31" s="20">
        <f t="shared" si="0"/>
        <v>96358.506908346215</v>
      </c>
      <c r="J31" s="22">
        <f t="shared" si="1"/>
        <v>96358.506908346215</v>
      </c>
      <c r="L31" s="54">
        <f t="shared" si="33"/>
        <v>176</v>
      </c>
      <c r="M31" s="14">
        <f t="shared" si="10"/>
        <v>3.0321752654056922</v>
      </c>
      <c r="N31" s="7">
        <f t="shared" si="11"/>
        <v>533.66284671140181</v>
      </c>
      <c r="P31" s="15">
        <f t="shared" si="34"/>
        <v>4</v>
      </c>
      <c r="Q31" s="7">
        <f t="shared" si="12"/>
        <v>61.132565834792182</v>
      </c>
      <c r="R31" s="7">
        <f t="shared" si="13"/>
        <v>244.53026333916873</v>
      </c>
      <c r="T31" s="15">
        <f t="shared" si="35"/>
        <v>2</v>
      </c>
      <c r="U31" s="7">
        <f t="shared" si="14"/>
        <v>61.132565834792182</v>
      </c>
      <c r="V31" s="7">
        <f t="shared" si="15"/>
        <v>122.26513166958436</v>
      </c>
      <c r="X31" s="14">
        <f t="shared" si="36"/>
        <v>8</v>
      </c>
      <c r="Y31" s="7">
        <f t="shared" si="16"/>
        <v>183.39769750437665</v>
      </c>
      <c r="Z31" s="22">
        <f t="shared" si="17"/>
        <v>1467.1815800350132</v>
      </c>
      <c r="AB31" s="7">
        <f t="shared" si="18"/>
        <v>149.07704479605746</v>
      </c>
      <c r="AC31" s="7">
        <f t="shared" si="2"/>
        <v>2295.7864898592852</v>
      </c>
      <c r="AE31" s="7">
        <f t="shared" si="37"/>
        <v>15.4</v>
      </c>
      <c r="AF31" s="7">
        <f t="shared" si="19"/>
        <v>638.90162055453231</v>
      </c>
      <c r="AG31" s="22">
        <f t="shared" si="20"/>
        <v>9839.0849565397984</v>
      </c>
      <c r="AH31" s="7">
        <f t="shared" si="38"/>
        <v>32</v>
      </c>
      <c r="AI31" s="7">
        <f t="shared" si="21"/>
        <v>159.72540513863308</v>
      </c>
      <c r="AJ31" s="22">
        <f t="shared" si="22"/>
        <v>5111.2129644362585</v>
      </c>
      <c r="AK31" s="22">
        <f t="shared" si="3"/>
        <v>14950.297920976056</v>
      </c>
      <c r="AM31" s="15">
        <f t="shared" si="39"/>
        <v>0.5</v>
      </c>
      <c r="AN31" s="7">
        <f t="shared" si="23"/>
        <v>206.48251480359912</v>
      </c>
      <c r="AO31" s="7">
        <f t="shared" si="24"/>
        <v>103.24125740179956</v>
      </c>
      <c r="AQ31" s="7">
        <f t="shared" si="40"/>
        <v>36</v>
      </c>
      <c r="AR31" s="7">
        <f t="shared" si="25"/>
        <v>47.917621541589845</v>
      </c>
      <c r="AS31" s="22">
        <f t="shared" si="26"/>
        <v>1725.0343754972344</v>
      </c>
      <c r="AT31" s="7">
        <f t="shared" si="41"/>
        <v>60</v>
      </c>
      <c r="AU31" s="7">
        <f t="shared" si="27"/>
        <v>47.917621541589845</v>
      </c>
      <c r="AV31" s="22">
        <f t="shared" si="28"/>
        <v>2875.0572924953908</v>
      </c>
      <c r="AW31" s="22">
        <f t="shared" si="29"/>
        <v>4600.0916679926249</v>
      </c>
      <c r="AY31" s="7">
        <f t="shared" si="42"/>
        <v>231</v>
      </c>
      <c r="AZ31" s="7">
        <f t="shared" si="30"/>
        <v>47.917621541589845</v>
      </c>
      <c r="BA31" s="22">
        <f t="shared" si="4"/>
        <v>11068.970576107255</v>
      </c>
      <c r="BC31" s="7">
        <f t="shared" si="43"/>
        <v>154</v>
      </c>
      <c r="BD31" s="7"/>
      <c r="BE31" s="21" t="str">
        <f>IF(Grapes!$D$17&lt;0,(+N31+R31+V31+Z31+AC31+AK31+AO31+AW31+BA31+BC31)*Grapes!$D$17/100,IF(Grapes!$D$17&gt;0,(+N31+R31+V31+Z31+AC31+AK31+AO31+AW31+BA31+BC31)*Grapes!$D$17/100,""))</f>
        <v/>
      </c>
      <c r="BF31" s="22">
        <f t="shared" si="31"/>
        <v>35540.027734092189</v>
      </c>
      <c r="BH31" s="21">
        <f t="shared" si="5"/>
        <v>60818.479174254026</v>
      </c>
      <c r="BI31" s="21">
        <f t="shared" si="6"/>
        <v>60818.479174254026</v>
      </c>
      <c r="BK31" s="51">
        <f t="shared" si="7"/>
        <v>5.4273265967155231</v>
      </c>
      <c r="BL31" s="51">
        <f t="shared" si="32"/>
        <v>5.4273265967155231</v>
      </c>
      <c r="BN31" s="7">
        <f>+'Almonds Margin - Baseline'!BN29</f>
        <v>267.80156465436488</v>
      </c>
      <c r="BO31" s="7">
        <f>+'Almonds Margin - Baseline'!BO29</f>
        <v>301.98749931544205</v>
      </c>
      <c r="BP31" s="7">
        <f>+'Almonds Margin - Baseline'!BP29</f>
        <v>266.74142658151703</v>
      </c>
      <c r="BQ31" s="7">
        <f>+'Almonds Margin - Baseline'!BQ29</f>
        <v>121.88845203697896</v>
      </c>
    </row>
    <row r="32" spans="1:69" x14ac:dyDescent="0.2">
      <c r="A32" s="8">
        <f t="shared" si="8"/>
        <v>2046</v>
      </c>
      <c r="B32" s="52">
        <f>+'Grapes Margin - Baseline'!C32</f>
        <v>6457.2713720398242</v>
      </c>
      <c r="C32" s="22">
        <f t="shared" si="9"/>
        <v>6457.2713720398242</v>
      </c>
      <c r="D32" s="22"/>
      <c r="F32" s="161">
        <f>Grapes!$D$9</f>
        <v>15.4</v>
      </c>
      <c r="G32" s="27"/>
      <c r="I32" s="20">
        <f t="shared" si="0"/>
        <v>99441.979129413288</v>
      </c>
      <c r="J32" s="22">
        <f t="shared" si="1"/>
        <v>99441.979129413288</v>
      </c>
      <c r="L32" s="54">
        <f t="shared" si="33"/>
        <v>176</v>
      </c>
      <c r="M32" s="14">
        <f t="shared" si="10"/>
        <v>3.0778081349198545</v>
      </c>
      <c r="N32" s="7">
        <f t="shared" si="11"/>
        <v>541.6942317458944</v>
      </c>
      <c r="P32" s="15">
        <f t="shared" si="34"/>
        <v>4</v>
      </c>
      <c r="Q32" s="7">
        <f t="shared" si="12"/>
        <v>62.052583365319649</v>
      </c>
      <c r="R32" s="7">
        <f t="shared" si="13"/>
        <v>248.21033346127859</v>
      </c>
      <c r="T32" s="15">
        <f t="shared" si="35"/>
        <v>2</v>
      </c>
      <c r="U32" s="7">
        <f t="shared" si="14"/>
        <v>62.052583365319649</v>
      </c>
      <c r="V32" s="7">
        <f t="shared" si="15"/>
        <v>124.1051667306393</v>
      </c>
      <c r="X32" s="14">
        <f t="shared" si="36"/>
        <v>8</v>
      </c>
      <c r="Y32" s="7">
        <f t="shared" si="16"/>
        <v>186.15775009595905</v>
      </c>
      <c r="Z32" s="22">
        <f t="shared" si="17"/>
        <v>1489.2620007676724</v>
      </c>
      <c r="AB32" s="7">
        <f t="shared" si="18"/>
        <v>153.84751022953131</v>
      </c>
      <c r="AC32" s="7">
        <f t="shared" si="2"/>
        <v>2369.2516575347822</v>
      </c>
      <c r="AE32" s="7">
        <f t="shared" si="37"/>
        <v>15.4</v>
      </c>
      <c r="AF32" s="7">
        <f t="shared" si="19"/>
        <v>659.34647241227742</v>
      </c>
      <c r="AG32" s="22">
        <f t="shared" si="20"/>
        <v>10153.935675149072</v>
      </c>
      <c r="AH32" s="7">
        <f t="shared" si="38"/>
        <v>32</v>
      </c>
      <c r="AI32" s="7">
        <f t="shared" si="21"/>
        <v>164.83661810306936</v>
      </c>
      <c r="AJ32" s="22">
        <f t="shared" si="22"/>
        <v>5274.7717792982194</v>
      </c>
      <c r="AK32" s="22">
        <f t="shared" si="3"/>
        <v>15428.707454447293</v>
      </c>
      <c r="AM32" s="15">
        <f t="shared" si="39"/>
        <v>0.5</v>
      </c>
      <c r="AN32" s="7">
        <f t="shared" si="23"/>
        <v>213.08995527731429</v>
      </c>
      <c r="AO32" s="7">
        <f t="shared" si="24"/>
        <v>106.54497763865714</v>
      </c>
      <c r="AQ32" s="7">
        <f t="shared" si="40"/>
        <v>36</v>
      </c>
      <c r="AR32" s="7">
        <f t="shared" si="25"/>
        <v>49.450985430920724</v>
      </c>
      <c r="AS32" s="22">
        <f t="shared" si="26"/>
        <v>1780.235475513146</v>
      </c>
      <c r="AT32" s="7">
        <f t="shared" si="41"/>
        <v>60</v>
      </c>
      <c r="AU32" s="7">
        <f t="shared" si="27"/>
        <v>49.450985430920724</v>
      </c>
      <c r="AV32" s="22">
        <f t="shared" si="28"/>
        <v>2967.0591258552436</v>
      </c>
      <c r="AW32" s="22">
        <f t="shared" si="29"/>
        <v>4747.2946013683895</v>
      </c>
      <c r="AY32" s="7">
        <f t="shared" si="42"/>
        <v>231</v>
      </c>
      <c r="AZ32" s="7">
        <f t="shared" si="30"/>
        <v>49.450985430920724</v>
      </c>
      <c r="BA32" s="22">
        <f t="shared" si="4"/>
        <v>11423.177634542688</v>
      </c>
      <c r="BC32" s="7">
        <f t="shared" si="43"/>
        <v>154</v>
      </c>
      <c r="BD32" s="7"/>
      <c r="BE32" s="21" t="str">
        <f>IF(Grapes!$D$17&lt;0,(+N32+R32+V32+Z32+AC32+AK32+AO32+AW32+BA32+BC32)*Grapes!$D$17/100,IF(Grapes!$D$17&gt;0,(+N32+R32+V32+Z32+AC32+AK32+AO32+AW32+BA32+BC32)*Grapes!$D$17/100,""))</f>
        <v/>
      </c>
      <c r="BF32" s="22">
        <f t="shared" si="31"/>
        <v>36632.248058237295</v>
      </c>
      <c r="BH32" s="21">
        <f t="shared" si="5"/>
        <v>62809.731071175993</v>
      </c>
      <c r="BI32" s="21">
        <f t="shared" si="6"/>
        <v>62809.731071175993</v>
      </c>
      <c r="BK32" s="51">
        <f t="shared" si="7"/>
        <v>5.4206450725157538</v>
      </c>
      <c r="BL32" s="51">
        <f t="shared" si="32"/>
        <v>5.4206450725157538</v>
      </c>
      <c r="BN32" s="7">
        <f>+'Almonds Margin - Baseline'!BN30</f>
        <v>276.37121472330455</v>
      </c>
      <c r="BO32" s="7">
        <f>+'Almonds Margin - Baseline'!BO30</f>
        <v>311.65109929353622</v>
      </c>
      <c r="BP32" s="7">
        <f>+'Almonds Margin - Baseline'!BP30</f>
        <v>275.27715223212556</v>
      </c>
      <c r="BQ32" s="7">
        <f>+'Almonds Margin - Baseline'!BQ30</f>
        <v>123.72281823953503</v>
      </c>
    </row>
    <row r="33" spans="1:69" x14ac:dyDescent="0.2">
      <c r="A33" s="8">
        <f t="shared" si="8"/>
        <v>2047</v>
      </c>
      <c r="B33" s="52">
        <f>+'Grapes Margin - Baseline'!C33</f>
        <v>6663.9040559450996</v>
      </c>
      <c r="C33" s="22">
        <f t="shared" si="9"/>
        <v>6663.9040559450996</v>
      </c>
      <c r="D33" s="22"/>
      <c r="F33" s="161">
        <f>Grapes!$D$9</f>
        <v>15.4</v>
      </c>
      <c r="G33" s="27"/>
      <c r="I33" s="20">
        <f t="shared" si="0"/>
        <v>102624.12246155454</v>
      </c>
      <c r="J33" s="22">
        <f t="shared" si="1"/>
        <v>102624.12246155454</v>
      </c>
      <c r="L33" s="54">
        <f t="shared" si="33"/>
        <v>176</v>
      </c>
      <c r="M33" s="14">
        <f t="shared" si="10"/>
        <v>3.1259474713216</v>
      </c>
      <c r="N33" s="7">
        <f t="shared" si="11"/>
        <v>550.16675495260165</v>
      </c>
      <c r="P33" s="15">
        <f t="shared" si="34"/>
        <v>4</v>
      </c>
      <c r="Q33" s="7">
        <f t="shared" si="12"/>
        <v>63.023134502451619</v>
      </c>
      <c r="R33" s="7">
        <f t="shared" si="13"/>
        <v>252.09253800980647</v>
      </c>
      <c r="T33" s="15">
        <f t="shared" si="35"/>
        <v>2</v>
      </c>
      <c r="U33" s="7">
        <f t="shared" si="14"/>
        <v>63.023134502451619</v>
      </c>
      <c r="V33" s="7">
        <f t="shared" si="15"/>
        <v>126.04626900490324</v>
      </c>
      <c r="X33" s="14">
        <f t="shared" si="36"/>
        <v>8</v>
      </c>
      <c r="Y33" s="7">
        <f t="shared" si="16"/>
        <v>189.06940350735496</v>
      </c>
      <c r="Z33" s="22">
        <f t="shared" si="17"/>
        <v>1512.5552280588397</v>
      </c>
      <c r="AB33" s="7">
        <f t="shared" si="18"/>
        <v>158.77063055687631</v>
      </c>
      <c r="AC33" s="7">
        <f t="shared" si="2"/>
        <v>2445.0677105758955</v>
      </c>
      <c r="AE33" s="7">
        <f t="shared" si="37"/>
        <v>15.4</v>
      </c>
      <c r="AF33" s="7">
        <f t="shared" si="19"/>
        <v>680.4455595294703</v>
      </c>
      <c r="AG33" s="22">
        <f t="shared" si="20"/>
        <v>10478.861616753842</v>
      </c>
      <c r="AH33" s="7">
        <f t="shared" si="38"/>
        <v>32</v>
      </c>
      <c r="AI33" s="7">
        <f t="shared" si="21"/>
        <v>170.11138988236758</v>
      </c>
      <c r="AJ33" s="22">
        <f t="shared" si="22"/>
        <v>5443.5644762357624</v>
      </c>
      <c r="AK33" s="22">
        <f t="shared" si="3"/>
        <v>15922.426092989605</v>
      </c>
      <c r="AM33" s="15">
        <f t="shared" si="39"/>
        <v>0.5</v>
      </c>
      <c r="AN33" s="7">
        <f t="shared" si="23"/>
        <v>219.90883384618837</v>
      </c>
      <c r="AO33" s="7">
        <f t="shared" si="24"/>
        <v>109.95441692309419</v>
      </c>
      <c r="AQ33" s="7">
        <f t="shared" si="40"/>
        <v>36</v>
      </c>
      <c r="AR33" s="7">
        <f t="shared" si="25"/>
        <v>51.033416964710192</v>
      </c>
      <c r="AS33" s="22">
        <f t="shared" si="26"/>
        <v>1837.2030107295668</v>
      </c>
      <c r="AT33" s="7">
        <f t="shared" si="41"/>
        <v>60</v>
      </c>
      <c r="AU33" s="7">
        <f t="shared" si="27"/>
        <v>51.033416964710192</v>
      </c>
      <c r="AV33" s="22">
        <f t="shared" si="28"/>
        <v>3062.0050178826114</v>
      </c>
      <c r="AW33" s="22">
        <f t="shared" si="29"/>
        <v>4899.2080286121782</v>
      </c>
      <c r="AY33" s="7">
        <f t="shared" si="42"/>
        <v>231</v>
      </c>
      <c r="AZ33" s="7">
        <f t="shared" si="30"/>
        <v>51.033416964710192</v>
      </c>
      <c r="BA33" s="22">
        <f t="shared" si="4"/>
        <v>11788.719318848054</v>
      </c>
      <c r="BC33" s="7">
        <f t="shared" si="43"/>
        <v>154</v>
      </c>
      <c r="BD33" s="7"/>
      <c r="BE33" s="21" t="str">
        <f>IF(Grapes!$D$17&lt;0,(+N33+R33+V33+Z33+AC33+AK33+AO33+AW33+BA33+BC33)*Grapes!$D$17/100,IF(Grapes!$D$17&gt;0,(+N33+R33+V33+Z33+AC33+AK33+AO33+AW33+BA33+BC33)*Grapes!$D$17/100,""))</f>
        <v/>
      </c>
      <c r="BF33" s="22">
        <f t="shared" si="31"/>
        <v>37760.23635797498</v>
      </c>
      <c r="BH33" s="21">
        <f t="shared" si="5"/>
        <v>64863.886103579556</v>
      </c>
      <c r="BI33" s="21">
        <f t="shared" si="6"/>
        <v>64863.886103579556</v>
      </c>
      <c r="BK33" s="51">
        <f t="shared" si="7"/>
        <v>5.4142972347841978</v>
      </c>
      <c r="BL33" s="51">
        <f t="shared" si="32"/>
        <v>5.4142972347841978</v>
      </c>
      <c r="BN33" s="7">
        <f>+'Almonds Margin - Baseline'!BN31</f>
        <v>285.21509359445031</v>
      </c>
      <c r="BO33" s="7">
        <f>+'Almonds Margin - Baseline'!BO31</f>
        <v>321.62393447092938</v>
      </c>
      <c r="BP33" s="7">
        <f>+'Almonds Margin - Baseline'!BP31</f>
        <v>284.08602110355355</v>
      </c>
      <c r="BQ33" s="7">
        <f>+'Almonds Margin - Baseline'!BQ31</f>
        <v>125.65794028311885</v>
      </c>
    </row>
    <row r="34" spans="1:69" x14ac:dyDescent="0.2">
      <c r="A34" s="8">
        <f t="shared" si="8"/>
        <v>2048</v>
      </c>
      <c r="B34" s="52">
        <f>+'Grapes Margin - Baseline'!C34</f>
        <v>6877.1489857353426</v>
      </c>
      <c r="C34" s="22">
        <f t="shared" si="9"/>
        <v>6877.1489857353426</v>
      </c>
      <c r="D34" s="22"/>
      <c r="F34" s="161">
        <f>Grapes!$D$9</f>
        <v>15.4</v>
      </c>
      <c r="G34" s="27"/>
      <c r="I34" s="20">
        <f t="shared" si="0"/>
        <v>105908.09438032428</v>
      </c>
      <c r="J34" s="22">
        <f t="shared" si="1"/>
        <v>105908.09438032428</v>
      </c>
      <c r="L34" s="54">
        <f t="shared" si="33"/>
        <v>176</v>
      </c>
      <c r="M34" s="14">
        <f t="shared" si="10"/>
        <v>3.1757339016647137</v>
      </c>
      <c r="N34" s="7">
        <f t="shared" si="11"/>
        <v>558.92916669298961</v>
      </c>
      <c r="P34" s="15">
        <f t="shared" si="34"/>
        <v>4</v>
      </c>
      <c r="Q34" s="7">
        <f t="shared" si="12"/>
        <v>64.026893178724066</v>
      </c>
      <c r="R34" s="7">
        <f t="shared" si="13"/>
        <v>256.10757271489626</v>
      </c>
      <c r="T34" s="15">
        <f t="shared" si="35"/>
        <v>2</v>
      </c>
      <c r="U34" s="7">
        <f t="shared" si="14"/>
        <v>64.026893178724066</v>
      </c>
      <c r="V34" s="7">
        <f t="shared" si="15"/>
        <v>128.05378635744813</v>
      </c>
      <c r="X34" s="14">
        <f t="shared" si="36"/>
        <v>8</v>
      </c>
      <c r="Y34" s="7">
        <f t="shared" si="16"/>
        <v>192.08067953617231</v>
      </c>
      <c r="Z34" s="22">
        <f t="shared" si="17"/>
        <v>1536.6454362893785</v>
      </c>
      <c r="AB34" s="7">
        <f t="shared" si="18"/>
        <v>163.85129073469636</v>
      </c>
      <c r="AC34" s="7">
        <f t="shared" si="2"/>
        <v>2523.3098773143242</v>
      </c>
      <c r="AE34" s="7">
        <f t="shared" si="37"/>
        <v>15.4</v>
      </c>
      <c r="AF34" s="7">
        <f t="shared" si="19"/>
        <v>702.21981743441336</v>
      </c>
      <c r="AG34" s="22">
        <f t="shared" si="20"/>
        <v>10814.185188489966</v>
      </c>
      <c r="AH34" s="7">
        <f t="shared" si="38"/>
        <v>32</v>
      </c>
      <c r="AI34" s="7">
        <f t="shared" si="21"/>
        <v>175.55495435860334</v>
      </c>
      <c r="AJ34" s="22">
        <f t="shared" si="22"/>
        <v>5617.7585394753069</v>
      </c>
      <c r="AK34" s="22">
        <f t="shared" si="3"/>
        <v>16431.943727965274</v>
      </c>
      <c r="AM34" s="15">
        <f t="shared" si="39"/>
        <v>0.5</v>
      </c>
      <c r="AN34" s="7">
        <f t="shared" si="23"/>
        <v>226.94591652926638</v>
      </c>
      <c r="AO34" s="7">
        <f t="shared" si="24"/>
        <v>113.47295826463319</v>
      </c>
      <c r="AQ34" s="7">
        <f t="shared" si="40"/>
        <v>36</v>
      </c>
      <c r="AR34" s="7">
        <f t="shared" si="25"/>
        <v>52.666486307580918</v>
      </c>
      <c r="AS34" s="22">
        <f t="shared" si="26"/>
        <v>1895.993507072913</v>
      </c>
      <c r="AT34" s="7">
        <f t="shared" si="41"/>
        <v>60</v>
      </c>
      <c r="AU34" s="7">
        <f t="shared" si="27"/>
        <v>52.666486307580918</v>
      </c>
      <c r="AV34" s="22">
        <f t="shared" si="28"/>
        <v>3159.9891784548549</v>
      </c>
      <c r="AW34" s="22">
        <f t="shared" si="29"/>
        <v>5055.9826855277679</v>
      </c>
      <c r="AY34" s="7">
        <f t="shared" si="42"/>
        <v>231</v>
      </c>
      <c r="AZ34" s="7">
        <f t="shared" si="30"/>
        <v>52.666486307580918</v>
      </c>
      <c r="BA34" s="22">
        <f t="shared" si="4"/>
        <v>12165.958337051192</v>
      </c>
      <c r="BC34" s="7">
        <f t="shared" si="43"/>
        <v>154</v>
      </c>
      <c r="BD34" s="7"/>
      <c r="BE34" s="21" t="str">
        <f>IF(Grapes!$D$17&lt;0,(+N34+R34+V34+Z34+AC34+AK34+AO34+AW34+BA34+BC34)*Grapes!$D$17/100,IF(Grapes!$D$17&gt;0,(+N34+R34+V34+Z34+AC34+AK34+AO34+AW34+BA34+BC34)*Grapes!$D$17/100,""))</f>
        <v/>
      </c>
      <c r="BF34" s="22">
        <f t="shared" si="31"/>
        <v>38924.403548177906</v>
      </c>
      <c r="BH34" s="21">
        <f t="shared" si="5"/>
        <v>66983.690832146385</v>
      </c>
      <c r="BI34" s="21">
        <f t="shared" si="6"/>
        <v>66983.690832146385</v>
      </c>
      <c r="BK34" s="51">
        <f t="shared" si="7"/>
        <v>5.4081593089935236</v>
      </c>
      <c r="BL34" s="51">
        <f t="shared" si="32"/>
        <v>5.4081593089935236</v>
      </c>
      <c r="BN34" s="7">
        <f>+'Almonds Margin - Baseline'!BN32</f>
        <v>294.34197658947272</v>
      </c>
      <c r="BO34" s="7">
        <f>+'Almonds Margin - Baseline'!BO32</f>
        <v>331.91590037399914</v>
      </c>
      <c r="BP34" s="7">
        <f>+'Almonds Margin - Baseline'!BP32</f>
        <v>293.17677377886724</v>
      </c>
      <c r="BQ34" s="7">
        <f>+'Almonds Margin - Baseline'!BQ32</f>
        <v>127.65927279057767</v>
      </c>
    </row>
    <row r="35" spans="1:69" x14ac:dyDescent="0.2">
      <c r="A35" s="8">
        <f t="shared" si="8"/>
        <v>2049</v>
      </c>
      <c r="B35" s="52">
        <f>+'Grapes Margin - Baseline'!C35</f>
        <v>7097.2177532788746</v>
      </c>
      <c r="C35" s="22">
        <f t="shared" si="9"/>
        <v>7097.2177532788746</v>
      </c>
      <c r="D35" s="22"/>
      <c r="F35" s="161">
        <f>Grapes!$D$9</f>
        <v>15.4</v>
      </c>
      <c r="G35" s="27"/>
      <c r="I35" s="20">
        <f t="shared" si="0"/>
        <v>109297.15340049467</v>
      </c>
      <c r="J35" s="22">
        <f t="shared" si="1"/>
        <v>109297.15340049467</v>
      </c>
      <c r="L35" s="54">
        <f t="shared" si="33"/>
        <v>176</v>
      </c>
      <c r="M35" s="14">
        <f t="shared" si="10"/>
        <v>3.2241691238425463</v>
      </c>
      <c r="N35" s="7">
        <f t="shared" si="11"/>
        <v>567.45376579628817</v>
      </c>
      <c r="P35" s="15">
        <f t="shared" si="34"/>
        <v>4</v>
      </c>
      <c r="Q35" s="7">
        <f t="shared" si="12"/>
        <v>65.003409754890043</v>
      </c>
      <c r="R35" s="7">
        <f t="shared" si="13"/>
        <v>260.01363901956017</v>
      </c>
      <c r="T35" s="15">
        <f t="shared" si="35"/>
        <v>2</v>
      </c>
      <c r="U35" s="7">
        <f t="shared" si="14"/>
        <v>65.003409754890043</v>
      </c>
      <c r="V35" s="7">
        <f t="shared" si="15"/>
        <v>130.00681950978009</v>
      </c>
      <c r="X35" s="14">
        <f t="shared" si="36"/>
        <v>8</v>
      </c>
      <c r="Y35" s="7">
        <f t="shared" si="16"/>
        <v>195.01022926467024</v>
      </c>
      <c r="Z35" s="22">
        <f t="shared" si="17"/>
        <v>1560.081834117362</v>
      </c>
      <c r="AB35" s="7">
        <f t="shared" si="18"/>
        <v>169.09453203820664</v>
      </c>
      <c r="AC35" s="7">
        <f t="shared" si="2"/>
        <v>2604.0557933883824</v>
      </c>
      <c r="AE35" s="7">
        <f t="shared" si="37"/>
        <v>15.4</v>
      </c>
      <c r="AF35" s="7">
        <f t="shared" si="19"/>
        <v>724.69085159231463</v>
      </c>
      <c r="AG35" s="22">
        <f t="shared" si="20"/>
        <v>11160.239114521646</v>
      </c>
      <c r="AH35" s="7">
        <f t="shared" si="38"/>
        <v>32</v>
      </c>
      <c r="AI35" s="7">
        <f t="shared" si="21"/>
        <v>181.17271289807866</v>
      </c>
      <c r="AJ35" s="22">
        <f t="shared" si="22"/>
        <v>5797.526812738517</v>
      </c>
      <c r="AK35" s="22">
        <f t="shared" si="3"/>
        <v>16957.765927260163</v>
      </c>
      <c r="AM35" s="15">
        <f t="shared" si="39"/>
        <v>0.5</v>
      </c>
      <c r="AN35" s="7">
        <f t="shared" si="23"/>
        <v>234.20818585820291</v>
      </c>
      <c r="AO35" s="7">
        <f t="shared" si="24"/>
        <v>117.10409292910145</v>
      </c>
      <c r="AQ35" s="7">
        <f t="shared" si="40"/>
        <v>36</v>
      </c>
      <c r="AR35" s="7">
        <f t="shared" si="25"/>
        <v>54.351813869423509</v>
      </c>
      <c r="AS35" s="22">
        <f t="shared" si="26"/>
        <v>1956.6652992992463</v>
      </c>
      <c r="AT35" s="7">
        <f t="shared" si="41"/>
        <v>60</v>
      </c>
      <c r="AU35" s="7">
        <f t="shared" si="27"/>
        <v>54.351813869423509</v>
      </c>
      <c r="AV35" s="22">
        <f t="shared" si="28"/>
        <v>3261.1088321654106</v>
      </c>
      <c r="AW35" s="22">
        <f t="shared" si="29"/>
        <v>5217.7741314646573</v>
      </c>
      <c r="AY35" s="7">
        <f t="shared" si="42"/>
        <v>231</v>
      </c>
      <c r="AZ35" s="7">
        <f t="shared" si="30"/>
        <v>54.351813869423509</v>
      </c>
      <c r="BA35" s="22">
        <f t="shared" si="4"/>
        <v>12555.269003836831</v>
      </c>
      <c r="BC35" s="7">
        <f t="shared" si="43"/>
        <v>154</v>
      </c>
      <c r="BD35" s="7"/>
      <c r="BE35" s="21" t="str">
        <f>IF(Grapes!$D$17&lt;0,(+N35+R35+V35+Z35+AC35+AK35+AO35+AW35+BA35+BC35)*Grapes!$D$17/100,IF(Grapes!$D$17&gt;0,(+N35+R35+V35+Z35+AC35+AK35+AO35+AW35+BA35+BC35)*Grapes!$D$17/100,""))</f>
        <v/>
      </c>
      <c r="BF35" s="22">
        <f t="shared" si="31"/>
        <v>40123.525007322125</v>
      </c>
      <c r="BH35" s="21">
        <f t="shared" si="5"/>
        <v>69173.628393172548</v>
      </c>
      <c r="BI35" s="21">
        <f t="shared" si="6"/>
        <v>69173.628393172548</v>
      </c>
      <c r="BK35" s="51">
        <f t="shared" si="7"/>
        <v>5.4018799461594389</v>
      </c>
      <c r="BL35" s="51">
        <f t="shared" si="32"/>
        <v>5.4018799461594389</v>
      </c>
      <c r="BN35" s="7">
        <f>+'Almonds Margin - Baseline'!BN33</f>
        <v>303.76091984033587</v>
      </c>
      <c r="BO35" s="7">
        <f>+'Almonds Margin - Baseline'!BO33</f>
        <v>342.53720918596713</v>
      </c>
      <c r="BP35" s="7">
        <f>+'Almonds Margin - Baseline'!BP33</f>
        <v>302.558430539791</v>
      </c>
      <c r="BQ35" s="7">
        <f>+'Almonds Margin - Baseline'!BQ33</f>
        <v>129.60628895507148</v>
      </c>
    </row>
    <row r="36" spans="1:69" x14ac:dyDescent="0.2">
      <c r="A36" s="8">
        <f t="shared" si="8"/>
        <v>2050</v>
      </c>
      <c r="B36" s="52">
        <f>+'Grapes Margin - Baseline'!C36</f>
        <v>7324.3287213837984</v>
      </c>
      <c r="C36" s="22">
        <f t="shared" si="9"/>
        <v>7324.3287213837984</v>
      </c>
      <c r="D36" s="22"/>
      <c r="F36" s="161">
        <f>Grapes!$D$9</f>
        <v>15.4</v>
      </c>
      <c r="G36" s="27"/>
      <c r="I36" s="20">
        <f t="shared" si="0"/>
        <v>112794.6623093105</v>
      </c>
      <c r="J36" s="22">
        <f t="shared" si="1"/>
        <v>112794.6623093105</v>
      </c>
      <c r="L36" s="54">
        <f t="shared" si="33"/>
        <v>176</v>
      </c>
      <c r="M36" s="14">
        <f t="shared" si="10"/>
        <v>3.2702865343274956</v>
      </c>
      <c r="N36" s="7">
        <f t="shared" si="11"/>
        <v>575.57043004163927</v>
      </c>
      <c r="P36" s="15">
        <f t="shared" si="34"/>
        <v>4</v>
      </c>
      <c r="Q36" s="7">
        <f t="shared" si="12"/>
        <v>65.933196256602727</v>
      </c>
      <c r="R36" s="7">
        <f t="shared" si="13"/>
        <v>263.73278502641091</v>
      </c>
      <c r="T36" s="15">
        <f t="shared" si="35"/>
        <v>2</v>
      </c>
      <c r="U36" s="7">
        <f t="shared" si="14"/>
        <v>65.933196256602727</v>
      </c>
      <c r="V36" s="7">
        <f t="shared" si="15"/>
        <v>131.86639251320545</v>
      </c>
      <c r="X36" s="14">
        <f t="shared" si="36"/>
        <v>8</v>
      </c>
      <c r="Y36" s="7">
        <f t="shared" si="16"/>
        <v>197.79958876980831</v>
      </c>
      <c r="Z36" s="22">
        <f t="shared" si="17"/>
        <v>1582.3967101584665</v>
      </c>
      <c r="AB36" s="7">
        <f t="shared" si="18"/>
        <v>174.50555706342925</v>
      </c>
      <c r="AC36" s="7">
        <f t="shared" si="2"/>
        <v>2687.3855787768107</v>
      </c>
      <c r="AE36" s="7">
        <f t="shared" si="37"/>
        <v>15.4</v>
      </c>
      <c r="AF36" s="7">
        <f t="shared" si="19"/>
        <v>747.88095884326867</v>
      </c>
      <c r="AG36" s="22">
        <f t="shared" si="20"/>
        <v>11517.366766186338</v>
      </c>
      <c r="AH36" s="7">
        <f t="shared" si="38"/>
        <v>32</v>
      </c>
      <c r="AI36" s="7">
        <f t="shared" si="21"/>
        <v>186.97023971081717</v>
      </c>
      <c r="AJ36" s="22">
        <f t="shared" si="22"/>
        <v>5983.0476707461494</v>
      </c>
      <c r="AK36" s="22">
        <f t="shared" si="3"/>
        <v>17500.414436932486</v>
      </c>
      <c r="AM36" s="15">
        <f t="shared" si="39"/>
        <v>0.5</v>
      </c>
      <c r="AN36" s="7">
        <f t="shared" si="23"/>
        <v>241.70284780566539</v>
      </c>
      <c r="AO36" s="7">
        <f t="shared" si="24"/>
        <v>120.85142390283269</v>
      </c>
      <c r="AQ36" s="7">
        <f t="shared" si="40"/>
        <v>36</v>
      </c>
      <c r="AR36" s="7">
        <f t="shared" si="25"/>
        <v>56.091071913245059</v>
      </c>
      <c r="AS36" s="22">
        <f t="shared" si="26"/>
        <v>2019.2785888768221</v>
      </c>
      <c r="AT36" s="7">
        <f t="shared" si="41"/>
        <v>60</v>
      </c>
      <c r="AU36" s="7">
        <f t="shared" si="27"/>
        <v>56.091071913245059</v>
      </c>
      <c r="AV36" s="22">
        <f t="shared" si="28"/>
        <v>3365.4643147947036</v>
      </c>
      <c r="AW36" s="22">
        <f t="shared" si="29"/>
        <v>5384.7429036715257</v>
      </c>
      <c r="AY36" s="7">
        <f t="shared" si="42"/>
        <v>231</v>
      </c>
      <c r="AZ36" s="7">
        <f t="shared" si="30"/>
        <v>56.091071913245059</v>
      </c>
      <c r="BA36" s="22">
        <f t="shared" si="4"/>
        <v>12957.037611959609</v>
      </c>
      <c r="BC36" s="7">
        <f t="shared" si="43"/>
        <v>154</v>
      </c>
      <c r="BD36" s="7"/>
      <c r="BE36" s="21" t="str">
        <f>IF(Grapes!$D$17&lt;0,(+N36+R36+V36+Z36+AC36+AK36+AO36+AW36+BA36+BC36)*Grapes!$D$17/100,IF(Grapes!$D$17&gt;0,(+N36+R36+V36+Z36+AC36+AK36+AO36+AW36+BA36+BC36)*Grapes!$D$17/100,""))</f>
        <v/>
      </c>
      <c r="BF36" s="22">
        <f t="shared" si="31"/>
        <v>41357.998272982986</v>
      </c>
      <c r="BH36" s="21">
        <f t="shared" si="5"/>
        <v>71436.664036327507</v>
      </c>
      <c r="BI36" s="21">
        <f t="shared" si="6"/>
        <v>71436.664036327507</v>
      </c>
      <c r="BK36" s="51">
        <f t="shared" si="7"/>
        <v>5.3953728517483226</v>
      </c>
      <c r="BL36" s="51">
        <f t="shared" si="32"/>
        <v>5.3953728517483226</v>
      </c>
      <c r="BN36" s="7">
        <f>+'Almonds Margin - Baseline'!BN34</f>
        <v>313.48126927522662</v>
      </c>
      <c r="BO36" s="7">
        <f>+'Almonds Margin - Baseline'!BO34</f>
        <v>353.49839987991805</v>
      </c>
      <c r="BP36" s="7">
        <f>+'Almonds Margin - Baseline'!BP34</f>
        <v>312.24030031706434</v>
      </c>
      <c r="BQ36" s="7">
        <f>+'Almonds Margin - Baseline'!BQ34</f>
        <v>131.46013290667179</v>
      </c>
    </row>
    <row r="37" spans="1:69" s="100" customFormat="1" x14ac:dyDescent="0.2">
      <c r="A37" s="100">
        <f t="shared" si="8"/>
        <v>2051</v>
      </c>
      <c r="B37" s="112">
        <f>+'Grapes Margin - Baseline'!C37</f>
        <v>7558.7072404680803</v>
      </c>
      <c r="C37" s="112">
        <f t="shared" si="9"/>
        <v>7558.7072404680803</v>
      </c>
      <c r="D37" s="112"/>
      <c r="F37" s="161">
        <f>Grapes!$D$9</f>
        <v>15.4</v>
      </c>
      <c r="G37" s="27"/>
      <c r="I37" s="112">
        <f t="shared" si="0"/>
        <v>116404.09150320844</v>
      </c>
      <c r="J37" s="112">
        <f t="shared" si="1"/>
        <v>116404.09150320844</v>
      </c>
      <c r="L37" s="105">
        <f t="shared" si="33"/>
        <v>176</v>
      </c>
      <c r="M37" s="109">
        <f t="shared" si="10"/>
        <v>3.3118099274035186</v>
      </c>
      <c r="N37" s="111">
        <f t="shared" si="11"/>
        <v>582.87854722301927</v>
      </c>
      <c r="P37" s="110">
        <f t="shared" si="34"/>
        <v>4</v>
      </c>
      <c r="Q37" s="111">
        <f t="shared" si="12"/>
        <v>66.770361439587063</v>
      </c>
      <c r="R37" s="111">
        <f t="shared" si="13"/>
        <v>267.08144575834825</v>
      </c>
      <c r="T37" s="110">
        <f t="shared" si="35"/>
        <v>2</v>
      </c>
      <c r="U37" s="111">
        <f t="shared" si="14"/>
        <v>66.770361439587063</v>
      </c>
      <c r="V37" s="111">
        <f t="shared" si="15"/>
        <v>133.54072287917413</v>
      </c>
      <c r="X37" s="109">
        <f t="shared" si="36"/>
        <v>8</v>
      </c>
      <c r="Y37" s="111">
        <f t="shared" si="16"/>
        <v>200.31108431876129</v>
      </c>
      <c r="Z37" s="112">
        <f t="shared" si="17"/>
        <v>1602.4886745500903</v>
      </c>
      <c r="AB37" s="111">
        <f t="shared" si="18"/>
        <v>180.08973488945898</v>
      </c>
      <c r="AC37" s="111">
        <f t="shared" si="2"/>
        <v>2773.3819172976682</v>
      </c>
      <c r="AE37" s="111">
        <f t="shared" si="37"/>
        <v>15.4</v>
      </c>
      <c r="AF37" s="111">
        <f t="shared" si="19"/>
        <v>771.81314952625326</v>
      </c>
      <c r="AG37" s="112">
        <f t="shared" si="20"/>
        <v>11885.922502704301</v>
      </c>
      <c r="AH37" s="111">
        <f t="shared" si="38"/>
        <v>32</v>
      </c>
      <c r="AI37" s="111">
        <f t="shared" si="21"/>
        <v>192.95328738156331</v>
      </c>
      <c r="AJ37" s="112">
        <f t="shared" si="22"/>
        <v>6174.505196210026</v>
      </c>
      <c r="AK37" s="112">
        <f t="shared" si="3"/>
        <v>18060.427698914325</v>
      </c>
      <c r="AM37" s="110">
        <f t="shared" si="39"/>
        <v>0.5</v>
      </c>
      <c r="AN37" s="111">
        <f t="shared" si="23"/>
        <v>249.43733893544669</v>
      </c>
      <c r="AO37" s="111">
        <f t="shared" si="24"/>
        <v>124.71866946772334</v>
      </c>
      <c r="AQ37" s="111">
        <f t="shared" si="40"/>
        <v>36</v>
      </c>
      <c r="AR37" s="111">
        <f t="shared" si="25"/>
        <v>57.8859862144689</v>
      </c>
      <c r="AS37" s="112">
        <f t="shared" si="26"/>
        <v>2083.8955037208802</v>
      </c>
      <c r="AT37" s="111">
        <f t="shared" si="41"/>
        <v>60</v>
      </c>
      <c r="AU37" s="111">
        <f t="shared" si="27"/>
        <v>57.8859862144689</v>
      </c>
      <c r="AV37" s="112">
        <f t="shared" si="28"/>
        <v>3473.1591728681342</v>
      </c>
      <c r="AW37" s="112">
        <f t="shared" si="29"/>
        <v>5557.054676589014</v>
      </c>
      <c r="AY37" s="111">
        <f t="shared" si="42"/>
        <v>231</v>
      </c>
      <c r="AZ37" s="111">
        <f t="shared" si="30"/>
        <v>57.8859862144689</v>
      </c>
      <c r="BA37" s="112">
        <f t="shared" si="4"/>
        <v>13371.662815542317</v>
      </c>
      <c r="BC37" s="111">
        <f t="shared" si="43"/>
        <v>154</v>
      </c>
      <c r="BD37" s="111"/>
      <c r="BE37" s="21" t="str">
        <f>IF(Grapes!$D$17&lt;0,(+N37+R37+V37+Z37+AC37+AK37+AO37+AW37+BA37+BC37)*Grapes!$D$17/100,IF(Grapes!$D$17&gt;0,(+N37+R37+V37+Z37+AC37+AK37+AO37+AW37+BA37+BC37)*Grapes!$D$17/100,""))</f>
        <v/>
      </c>
      <c r="BF37" s="112">
        <f t="shared" si="31"/>
        <v>42627.235168221683</v>
      </c>
      <c r="BH37" s="21">
        <f t="shared" si="5"/>
        <v>73776.856334986762</v>
      </c>
      <c r="BI37" s="21">
        <f t="shared" si="6"/>
        <v>73776.856334986762</v>
      </c>
      <c r="BK37" s="51">
        <f t="shared" si="7"/>
        <v>5.3884248498057934</v>
      </c>
      <c r="BL37" s="51">
        <f t="shared" si="32"/>
        <v>5.3884248498057934</v>
      </c>
      <c r="BN37" s="111">
        <f>+'Almonds Margin - Baseline'!BN35</f>
        <v>323.5126698920339</v>
      </c>
      <c r="BO37" s="111">
        <f>+'Almonds Margin - Baseline'!BO35</f>
        <v>364.81034867607542</v>
      </c>
      <c r="BP37" s="111">
        <f>+'Almonds Margin - Baseline'!BP35</f>
        <v>322.23198992721041</v>
      </c>
      <c r="BQ37" s="111">
        <f>+'Almonds Margin - Baseline'!BQ35</f>
        <v>133.12930492423399</v>
      </c>
    </row>
    <row r="38" spans="1:69" s="100" customFormat="1" x14ac:dyDescent="0.2">
      <c r="A38" s="100">
        <f t="shared" si="8"/>
        <v>2052</v>
      </c>
      <c r="B38" s="112">
        <f>+'Grapes Margin - Baseline'!C38</f>
        <v>7800.5858721630593</v>
      </c>
      <c r="C38" s="112">
        <f t="shared" si="9"/>
        <v>7800.5858721630593</v>
      </c>
      <c r="D38" s="112"/>
      <c r="F38" s="161">
        <f>Grapes!$D$9</f>
        <v>15.4</v>
      </c>
      <c r="G38" s="27"/>
      <c r="I38" s="112">
        <f t="shared" si="0"/>
        <v>120129.02243131111</v>
      </c>
      <c r="J38" s="112">
        <f t="shared" si="1"/>
        <v>120129.02243131111</v>
      </c>
      <c r="L38" s="105">
        <f t="shared" si="33"/>
        <v>176</v>
      </c>
      <c r="M38" s="109">
        <f t="shared" si="10"/>
        <v>3.3481943691361638</v>
      </c>
      <c r="N38" s="111">
        <f t="shared" si="11"/>
        <v>589.28220896796483</v>
      </c>
      <c r="P38" s="110">
        <f t="shared" si="34"/>
        <v>4</v>
      </c>
      <c r="Q38" s="111">
        <f t="shared" si="12"/>
        <v>67.503918732583941</v>
      </c>
      <c r="R38" s="111">
        <f t="shared" si="13"/>
        <v>270.01567493033576</v>
      </c>
      <c r="T38" s="110">
        <f t="shared" si="35"/>
        <v>2</v>
      </c>
      <c r="U38" s="111">
        <f t="shared" si="14"/>
        <v>67.503918732583941</v>
      </c>
      <c r="V38" s="111">
        <f t="shared" si="15"/>
        <v>135.00783746516788</v>
      </c>
      <c r="X38" s="109">
        <f t="shared" si="36"/>
        <v>8</v>
      </c>
      <c r="Y38" s="111">
        <f t="shared" si="16"/>
        <v>202.51175619775191</v>
      </c>
      <c r="Z38" s="112">
        <f t="shared" si="17"/>
        <v>1620.0940495820153</v>
      </c>
      <c r="AB38" s="111">
        <f t="shared" si="18"/>
        <v>185.85260640592168</v>
      </c>
      <c r="AC38" s="111">
        <f t="shared" si="2"/>
        <v>2862.1301386511941</v>
      </c>
      <c r="AE38" s="111">
        <f t="shared" si="37"/>
        <v>15.4</v>
      </c>
      <c r="AF38" s="111">
        <f t="shared" si="19"/>
        <v>796.51117031109334</v>
      </c>
      <c r="AG38" s="112">
        <f t="shared" si="20"/>
        <v>12266.272022790838</v>
      </c>
      <c r="AH38" s="111">
        <f t="shared" si="38"/>
        <v>32</v>
      </c>
      <c r="AI38" s="111">
        <f t="shared" si="21"/>
        <v>199.12779257777333</v>
      </c>
      <c r="AJ38" s="112">
        <f t="shared" si="22"/>
        <v>6372.0893624887467</v>
      </c>
      <c r="AK38" s="112">
        <f t="shared" si="3"/>
        <v>18638.361385279582</v>
      </c>
      <c r="AM38" s="110">
        <f t="shared" si="39"/>
        <v>0.5</v>
      </c>
      <c r="AN38" s="111">
        <f t="shared" si="23"/>
        <v>257.419333781381</v>
      </c>
      <c r="AO38" s="111">
        <f t="shared" si="24"/>
        <v>128.7096668906905</v>
      </c>
      <c r="AQ38" s="111">
        <f t="shared" si="40"/>
        <v>36</v>
      </c>
      <c r="AR38" s="111">
        <f t="shared" si="25"/>
        <v>59.738337773331899</v>
      </c>
      <c r="AS38" s="112">
        <f t="shared" si="26"/>
        <v>2150.5801598399485</v>
      </c>
      <c r="AT38" s="111">
        <f t="shared" si="41"/>
        <v>60</v>
      </c>
      <c r="AU38" s="111">
        <f t="shared" si="27"/>
        <v>59.738337773331899</v>
      </c>
      <c r="AV38" s="112">
        <f t="shared" si="28"/>
        <v>3584.3002663999141</v>
      </c>
      <c r="AW38" s="112">
        <f t="shared" si="29"/>
        <v>5734.8804262398626</v>
      </c>
      <c r="AY38" s="111">
        <f t="shared" si="42"/>
        <v>231</v>
      </c>
      <c r="AZ38" s="111">
        <f t="shared" si="30"/>
        <v>59.738337773331899</v>
      </c>
      <c r="BA38" s="112">
        <f t="shared" si="4"/>
        <v>13799.556025639669</v>
      </c>
      <c r="BC38" s="111">
        <f t="shared" si="43"/>
        <v>154</v>
      </c>
      <c r="BD38" s="111"/>
      <c r="BE38" s="21" t="str">
        <f>IF(Grapes!$D$17&lt;0,(+N38+R38+V38+Z38+AC38+AK38+AO38+AW38+BA38+BC38)*Grapes!$D$17/100,IF(Grapes!$D$17&gt;0,(+N38+R38+V38+Z38+AC38+AK38+AO38+AW38+BA38+BC38)*Grapes!$D$17/100,""))</f>
        <v/>
      </c>
      <c r="BF38" s="112">
        <f t="shared" si="31"/>
        <v>43932.037413646482</v>
      </c>
      <c r="BH38" s="21">
        <f t="shared" si="5"/>
        <v>76196.985017664629</v>
      </c>
      <c r="BI38" s="21">
        <f t="shared" si="6"/>
        <v>76196.985017664629</v>
      </c>
      <c r="BK38" s="51">
        <f t="shared" si="7"/>
        <v>5.3810287453476464</v>
      </c>
      <c r="BL38" s="51">
        <f t="shared" si="32"/>
        <v>5.3810287453476464</v>
      </c>
      <c r="BN38" s="111">
        <f>+'Almonds Margin - Baseline'!BN36</f>
        <v>333.865075328579</v>
      </c>
      <c r="BO38" s="111">
        <f>+'Almonds Margin - Baseline'!BO36</f>
        <v>376.48427983370982</v>
      </c>
      <c r="BP38" s="111">
        <f>+'Almonds Margin - Baseline'!BP36</f>
        <v>332.54341360488115</v>
      </c>
      <c r="BQ38" s="111">
        <f>+'Almonds Margin - Baseline'!BQ36</f>
        <v>134.59189956103458</v>
      </c>
    </row>
    <row r="39" spans="1:69" s="100" customFormat="1" x14ac:dyDescent="0.2">
      <c r="A39" s="100">
        <f t="shared" si="8"/>
        <v>2053</v>
      </c>
      <c r="B39" s="112">
        <f>+'Grapes Margin - Baseline'!C39</f>
        <v>8050.2046200722762</v>
      </c>
      <c r="C39" s="112">
        <f t="shared" si="9"/>
        <v>8050.2046200722762</v>
      </c>
      <c r="D39" s="112"/>
      <c r="F39" s="161">
        <f>Grapes!$D$9</f>
        <v>15.4</v>
      </c>
      <c r="G39" s="27"/>
      <c r="I39" s="112">
        <f t="shared" si="0"/>
        <v>123973.15114911305</v>
      </c>
      <c r="J39" s="112">
        <f t="shared" si="1"/>
        <v>123973.15114911305</v>
      </c>
      <c r="L39" s="105">
        <f t="shared" si="33"/>
        <v>176</v>
      </c>
      <c r="M39" s="109">
        <f t="shared" si="10"/>
        <v>3.3781988744496578</v>
      </c>
      <c r="N39" s="111">
        <f t="shared" si="11"/>
        <v>594.56300190313982</v>
      </c>
      <c r="P39" s="110">
        <f t="shared" si="34"/>
        <v>4</v>
      </c>
      <c r="Q39" s="111">
        <f t="shared" si="12"/>
        <v>68.108848275194703</v>
      </c>
      <c r="R39" s="111">
        <f t="shared" si="13"/>
        <v>272.43539310077881</v>
      </c>
      <c r="T39" s="110">
        <f t="shared" si="35"/>
        <v>2</v>
      </c>
      <c r="U39" s="111">
        <f t="shared" si="14"/>
        <v>68.108848275194703</v>
      </c>
      <c r="V39" s="111">
        <f t="shared" si="15"/>
        <v>136.21769655038941</v>
      </c>
      <c r="X39" s="109">
        <f t="shared" si="36"/>
        <v>8</v>
      </c>
      <c r="Y39" s="111">
        <f t="shared" si="16"/>
        <v>204.32654482558419</v>
      </c>
      <c r="Z39" s="112">
        <f t="shared" si="17"/>
        <v>1634.6123586046735</v>
      </c>
      <c r="AB39" s="111">
        <f t="shared" si="18"/>
        <v>191.79988981091117</v>
      </c>
      <c r="AC39" s="111">
        <f t="shared" si="2"/>
        <v>2953.7183030880319</v>
      </c>
      <c r="AE39" s="111">
        <f t="shared" si="37"/>
        <v>15.4</v>
      </c>
      <c r="AF39" s="111">
        <f t="shared" si="19"/>
        <v>821.9995277610484</v>
      </c>
      <c r="AG39" s="112">
        <f t="shared" si="20"/>
        <v>12658.792727520145</v>
      </c>
      <c r="AH39" s="111">
        <f t="shared" si="38"/>
        <v>32</v>
      </c>
      <c r="AI39" s="111">
        <f t="shared" si="21"/>
        <v>205.4998819402621</v>
      </c>
      <c r="AJ39" s="112">
        <f t="shared" si="22"/>
        <v>6575.9962220883872</v>
      </c>
      <c r="AK39" s="112">
        <f t="shared" si="3"/>
        <v>19234.788949608534</v>
      </c>
      <c r="AM39" s="110">
        <f t="shared" si="39"/>
        <v>0.5</v>
      </c>
      <c r="AN39" s="111">
        <f t="shared" si="23"/>
        <v>265.65675246238521</v>
      </c>
      <c r="AO39" s="111">
        <f t="shared" si="24"/>
        <v>132.82837623119261</v>
      </c>
      <c r="AQ39" s="111">
        <f t="shared" si="40"/>
        <v>36</v>
      </c>
      <c r="AR39" s="111">
        <f t="shared" si="25"/>
        <v>61.649964582078518</v>
      </c>
      <c r="AS39" s="112">
        <f t="shared" si="26"/>
        <v>2219.3987249548268</v>
      </c>
      <c r="AT39" s="111">
        <f t="shared" si="41"/>
        <v>60</v>
      </c>
      <c r="AU39" s="111">
        <f t="shared" si="27"/>
        <v>61.649964582078518</v>
      </c>
      <c r="AV39" s="112">
        <f t="shared" si="28"/>
        <v>3698.9978749247111</v>
      </c>
      <c r="AW39" s="112">
        <f t="shared" si="29"/>
        <v>5918.3965998795375</v>
      </c>
      <c r="AY39" s="111">
        <f t="shared" si="42"/>
        <v>231</v>
      </c>
      <c r="AZ39" s="111">
        <f t="shared" si="30"/>
        <v>61.649964582078518</v>
      </c>
      <c r="BA39" s="112">
        <f t="shared" si="4"/>
        <v>14241.141818460137</v>
      </c>
      <c r="BC39" s="111">
        <f t="shared" si="43"/>
        <v>154</v>
      </c>
      <c r="BD39" s="111"/>
      <c r="BE39" s="21" t="str">
        <f>IF(Grapes!$D$17&lt;0,(+N39+R39+V39+Z39+AC39+AK39+AO39+AW39+BA39+BC39)*Grapes!$D$17/100,IF(Grapes!$D$17&gt;0,(+N39+R39+V39+Z39+AC39+AK39+AO39+AW39+BA39+BC39)*Grapes!$D$17/100,""))</f>
        <v/>
      </c>
      <c r="BF39" s="112">
        <f t="shared" si="31"/>
        <v>45272.702497426413</v>
      </c>
      <c r="BH39" s="21">
        <f t="shared" si="5"/>
        <v>78700.448651686631</v>
      </c>
      <c r="BI39" s="21">
        <f t="shared" si="6"/>
        <v>78700.448651686631</v>
      </c>
      <c r="BK39" s="51">
        <f t="shared" si="7"/>
        <v>5.3731119578604982</v>
      </c>
      <c r="BL39" s="51">
        <f t="shared" si="32"/>
        <v>5.3731119578604982</v>
      </c>
      <c r="BN39" s="111">
        <f>+'Almonds Margin - Baseline'!BN37</f>
        <v>344.5487577390935</v>
      </c>
      <c r="BO39" s="111">
        <f>+'Almonds Margin - Baseline'!BO37</f>
        <v>388.53177678838853</v>
      </c>
      <c r="BP39" s="111">
        <f>+'Almonds Margin - Baseline'!BP37</f>
        <v>343.18480284023735</v>
      </c>
      <c r="BQ39" s="111">
        <f>+'Almonds Margin - Baseline'!BQ37</f>
        <v>135.79803126078241</v>
      </c>
    </row>
    <row r="40" spans="1:69" s="100" customFormat="1" x14ac:dyDescent="0.2">
      <c r="A40" s="100">
        <f t="shared" si="8"/>
        <v>2054</v>
      </c>
      <c r="B40" s="112">
        <f>+'Grapes Margin - Baseline'!C40</f>
        <v>8307.8111679145895</v>
      </c>
      <c r="C40" s="112">
        <f t="shared" si="9"/>
        <v>8307.8111679145895</v>
      </c>
      <c r="D40" s="112"/>
      <c r="F40" s="161">
        <f>Grapes!$D$9</f>
        <v>15.4</v>
      </c>
      <c r="G40" s="27"/>
      <c r="I40" s="112">
        <f t="shared" si="0"/>
        <v>127940.29198588469</v>
      </c>
      <c r="J40" s="112">
        <f t="shared" si="1"/>
        <v>127940.29198588469</v>
      </c>
      <c r="L40" s="105">
        <f t="shared" si="33"/>
        <v>176</v>
      </c>
      <c r="M40" s="109">
        <f t="shared" si="10"/>
        <v>3.4020259260598515</v>
      </c>
      <c r="N40" s="111">
        <f t="shared" si="11"/>
        <v>598.75656298653382</v>
      </c>
      <c r="P40" s="110">
        <f t="shared" si="34"/>
        <v>4</v>
      </c>
      <c r="Q40" s="111">
        <f t="shared" si="12"/>
        <v>68.58923238023894</v>
      </c>
      <c r="R40" s="111">
        <f t="shared" si="13"/>
        <v>274.35692952095576</v>
      </c>
      <c r="T40" s="110">
        <f t="shared" si="35"/>
        <v>2</v>
      </c>
      <c r="U40" s="111">
        <f t="shared" si="14"/>
        <v>68.58923238023894</v>
      </c>
      <c r="V40" s="111">
        <f t="shared" si="15"/>
        <v>137.17846476047788</v>
      </c>
      <c r="X40" s="109">
        <f t="shared" si="36"/>
        <v>8</v>
      </c>
      <c r="Y40" s="111">
        <f t="shared" si="16"/>
        <v>205.76769714071688</v>
      </c>
      <c r="Z40" s="112">
        <f t="shared" si="17"/>
        <v>1646.141577125735</v>
      </c>
      <c r="AB40" s="111">
        <f t="shared" si="18"/>
        <v>197.93748628486034</v>
      </c>
      <c r="AC40" s="111">
        <f t="shared" si="2"/>
        <v>3048.2372887868491</v>
      </c>
      <c r="AE40" s="111">
        <f t="shared" si="37"/>
        <v>15.4</v>
      </c>
      <c r="AF40" s="111">
        <f t="shared" si="19"/>
        <v>848.30351264940202</v>
      </c>
      <c r="AG40" s="112">
        <f t="shared" si="20"/>
        <v>13063.874094800791</v>
      </c>
      <c r="AH40" s="111">
        <f t="shared" si="38"/>
        <v>32</v>
      </c>
      <c r="AI40" s="111">
        <f t="shared" si="21"/>
        <v>212.07587816235051</v>
      </c>
      <c r="AJ40" s="112">
        <f t="shared" si="22"/>
        <v>6786.4281011952162</v>
      </c>
      <c r="AK40" s="112">
        <f t="shared" si="3"/>
        <v>19850.302195996006</v>
      </c>
      <c r="AM40" s="110">
        <f t="shared" si="39"/>
        <v>0.5</v>
      </c>
      <c r="AN40" s="111">
        <f t="shared" si="23"/>
        <v>274.15776854118155</v>
      </c>
      <c r="AO40" s="111">
        <f t="shared" si="24"/>
        <v>137.07888427059078</v>
      </c>
      <c r="AQ40" s="111">
        <f t="shared" si="40"/>
        <v>36</v>
      </c>
      <c r="AR40" s="111">
        <f t="shared" si="25"/>
        <v>63.622763448705037</v>
      </c>
      <c r="AS40" s="112">
        <f t="shared" si="26"/>
        <v>2290.4194841533813</v>
      </c>
      <c r="AT40" s="111">
        <f t="shared" si="41"/>
        <v>60</v>
      </c>
      <c r="AU40" s="111">
        <f t="shared" si="27"/>
        <v>63.622763448705037</v>
      </c>
      <c r="AV40" s="112">
        <f t="shared" si="28"/>
        <v>3817.365806922302</v>
      </c>
      <c r="AW40" s="112">
        <f t="shared" si="29"/>
        <v>6107.7852910756828</v>
      </c>
      <c r="AY40" s="111">
        <f t="shared" si="42"/>
        <v>231</v>
      </c>
      <c r="AZ40" s="111">
        <f t="shared" si="30"/>
        <v>63.622763448705037</v>
      </c>
      <c r="BA40" s="112">
        <f t="shared" si="4"/>
        <v>14696.858356650864</v>
      </c>
      <c r="BC40" s="111">
        <f t="shared" si="43"/>
        <v>154</v>
      </c>
      <c r="BD40" s="111"/>
      <c r="BE40" s="21" t="str">
        <f>IF(Grapes!$D$17&lt;0,(+N40+R40+V40+Z40+AC40+AK40+AO40+AW40+BA40+BC40)*Grapes!$D$17/100,IF(Grapes!$D$17&gt;0,(+N40+R40+V40+Z40+AC40+AK40+AO40+AW40+BA40+BC40)*Grapes!$D$17/100,""))</f>
        <v/>
      </c>
      <c r="BF40" s="112">
        <f t="shared" si="31"/>
        <v>46650.695551173689</v>
      </c>
      <c r="BH40" s="21">
        <f t="shared" si="5"/>
        <v>81289.596434710998</v>
      </c>
      <c r="BI40" s="21">
        <f t="shared" si="6"/>
        <v>81289.596434710998</v>
      </c>
      <c r="BK40" s="51">
        <f t="shared" si="7"/>
        <v>5.3647531706709808</v>
      </c>
      <c r="BL40" s="51">
        <f t="shared" si="32"/>
        <v>5.3647531706709808</v>
      </c>
      <c r="BN40" s="111">
        <f>+'Almonds Margin - Baseline'!BN38</f>
        <v>355.57431798674452</v>
      </c>
      <c r="BO40" s="111">
        <f>+'Almonds Margin - Baseline'!BO38</f>
        <v>400.96479364561696</v>
      </c>
      <c r="BP40" s="111">
        <f>+'Almonds Margin - Baseline'!BP38</f>
        <v>354.16671653112496</v>
      </c>
      <c r="BQ40" s="111">
        <f>+'Almonds Margin - Baseline'!BQ38</f>
        <v>136.75583949518972</v>
      </c>
    </row>
    <row r="41" spans="1:69" s="100" customFormat="1" x14ac:dyDescent="0.2">
      <c r="A41" s="100">
        <f t="shared" si="8"/>
        <v>2055</v>
      </c>
      <c r="B41" s="112">
        <f>+'Grapes Margin - Baseline'!C41</f>
        <v>8573.6611252878574</v>
      </c>
      <c r="C41" s="112">
        <f t="shared" si="9"/>
        <v>8573.6611252878574</v>
      </c>
      <c r="D41" s="112"/>
      <c r="F41" s="161">
        <f>Grapes!$D$9</f>
        <v>15.4</v>
      </c>
      <c r="G41" s="27"/>
      <c r="I41" s="112">
        <f t="shared" si="0"/>
        <v>132034.381329433</v>
      </c>
      <c r="J41" s="112">
        <f t="shared" si="1"/>
        <v>132034.381329433</v>
      </c>
      <c r="L41" s="105">
        <f t="shared" si="33"/>
        <v>176</v>
      </c>
      <c r="M41" s="109">
        <f t="shared" si="10"/>
        <v>3.4195193946185802</v>
      </c>
      <c r="N41" s="111">
        <f t="shared" si="11"/>
        <v>601.83541345287017</v>
      </c>
      <c r="P41" s="110">
        <f t="shared" si="34"/>
        <v>4</v>
      </c>
      <c r="Q41" s="111">
        <f t="shared" si="12"/>
        <v>68.941923278600399</v>
      </c>
      <c r="R41" s="111">
        <f t="shared" si="13"/>
        <v>275.7676931144016</v>
      </c>
      <c r="T41" s="110">
        <f t="shared" si="35"/>
        <v>2</v>
      </c>
      <c r="U41" s="111">
        <f t="shared" si="14"/>
        <v>68.941923278600399</v>
      </c>
      <c r="V41" s="111">
        <f t="shared" si="15"/>
        <v>137.8838465572008</v>
      </c>
      <c r="X41" s="109">
        <f t="shared" si="36"/>
        <v>8</v>
      </c>
      <c r="Y41" s="111">
        <f t="shared" si="16"/>
        <v>206.82576983580128</v>
      </c>
      <c r="Z41" s="112">
        <f t="shared" si="17"/>
        <v>1654.6061586864103</v>
      </c>
      <c r="AB41" s="111">
        <f t="shared" si="18"/>
        <v>204.27148584597589</v>
      </c>
      <c r="AC41" s="111">
        <f t="shared" si="2"/>
        <v>3145.7808820280288</v>
      </c>
      <c r="AE41" s="111">
        <f t="shared" si="37"/>
        <v>15.4</v>
      </c>
      <c r="AF41" s="111">
        <f t="shared" si="19"/>
        <v>875.44922505418288</v>
      </c>
      <c r="AG41" s="112">
        <f t="shared" si="20"/>
        <v>13481.918065834416</v>
      </c>
      <c r="AH41" s="111">
        <f t="shared" si="38"/>
        <v>32</v>
      </c>
      <c r="AI41" s="111">
        <f t="shared" si="21"/>
        <v>218.86230626354572</v>
      </c>
      <c r="AJ41" s="112">
        <f t="shared" si="22"/>
        <v>7003.593800433463</v>
      </c>
      <c r="AK41" s="112">
        <f t="shared" si="3"/>
        <v>20485.51186626788</v>
      </c>
      <c r="AM41" s="110">
        <f t="shared" si="39"/>
        <v>0.5</v>
      </c>
      <c r="AN41" s="111">
        <f t="shared" si="23"/>
        <v>282.93081713449936</v>
      </c>
      <c r="AO41" s="111">
        <f t="shared" si="24"/>
        <v>141.46540856724968</v>
      </c>
      <c r="AQ41" s="111">
        <f t="shared" si="40"/>
        <v>36</v>
      </c>
      <c r="AR41" s="111">
        <f t="shared" si="25"/>
        <v>65.658691879063596</v>
      </c>
      <c r="AS41" s="112">
        <f t="shared" si="26"/>
        <v>2363.7129076462893</v>
      </c>
      <c r="AT41" s="111">
        <f t="shared" si="41"/>
        <v>60</v>
      </c>
      <c r="AU41" s="111">
        <f t="shared" si="27"/>
        <v>65.658691879063596</v>
      </c>
      <c r="AV41" s="112">
        <f t="shared" si="28"/>
        <v>3939.5215127438159</v>
      </c>
      <c r="AW41" s="112">
        <f t="shared" si="29"/>
        <v>6303.2344203901048</v>
      </c>
      <c r="AY41" s="111">
        <f t="shared" si="42"/>
        <v>231</v>
      </c>
      <c r="AZ41" s="111">
        <f t="shared" si="30"/>
        <v>65.658691879063596</v>
      </c>
      <c r="BA41" s="112">
        <f t="shared" si="4"/>
        <v>15167.15782406369</v>
      </c>
      <c r="BC41" s="111">
        <f t="shared" si="43"/>
        <v>154</v>
      </c>
      <c r="BD41" s="111"/>
      <c r="BE41" s="21" t="str">
        <f>IF(Grapes!$D$17&lt;0,(+N41+R41+V41+Z41+AC41+AK41+AO41+AW41+BA41+BC41)*Grapes!$D$17/100,IF(Grapes!$D$17&gt;0,(+N41+R41+V41+Z41+AC41+AK41+AO41+AW41+BA41+BC41)*Grapes!$D$17/100,""))</f>
        <v/>
      </c>
      <c r="BF41" s="112">
        <f t="shared" si="31"/>
        <v>48067.243513127833</v>
      </c>
      <c r="BH41" s="21">
        <f t="shared" si="5"/>
        <v>83967.13781630517</v>
      </c>
      <c r="BI41" s="21">
        <f t="shared" si="6"/>
        <v>83967.13781630517</v>
      </c>
      <c r="BK41" s="51">
        <f t="shared" si="7"/>
        <v>5.3559913526703076</v>
      </c>
      <c r="BL41" s="51">
        <f t="shared" si="32"/>
        <v>5.3559913526703076</v>
      </c>
      <c r="BN41" s="111">
        <f>+'Almonds Margin - Baseline'!BN39</f>
        <v>366.95269616232036</v>
      </c>
      <c r="BO41" s="111">
        <f>+'Almonds Margin - Baseline'!BO39</f>
        <v>413.7956670422767</v>
      </c>
      <c r="BP41" s="111">
        <f>+'Almonds Margin - Baseline'!BP39</f>
        <v>365.50005146012097</v>
      </c>
      <c r="BQ41" s="111">
        <f>+'Almonds Margin - Baseline'!BQ39</f>
        <v>137.45904812158676</v>
      </c>
    </row>
    <row r="42" spans="1:69" x14ac:dyDescent="0.2">
      <c r="A42" s="8"/>
      <c r="F42" s="29"/>
      <c r="G42" s="29"/>
      <c r="BC42" s="7"/>
      <c r="BD42" s="7"/>
    </row>
  </sheetData>
  <mergeCells count="52">
    <mergeCell ref="AB5:AB6"/>
    <mergeCell ref="AC5:AC6"/>
    <mergeCell ref="AE5:AG5"/>
    <mergeCell ref="BN6:BQ6"/>
    <mergeCell ref="BN3:BQ3"/>
    <mergeCell ref="BA5:BA6"/>
    <mergeCell ref="BF5:BF6"/>
    <mergeCell ref="BH5:BH6"/>
    <mergeCell ref="BK5:BK6"/>
    <mergeCell ref="AY4:BA4"/>
    <mergeCell ref="AY5:AY6"/>
    <mergeCell ref="BH3:BI3"/>
    <mergeCell ref="BK3:BL3"/>
    <mergeCell ref="BI5:BI6"/>
    <mergeCell ref="BL5:BL6"/>
    <mergeCell ref="N5:N6"/>
    <mergeCell ref="P5:P6"/>
    <mergeCell ref="Q5:Q6"/>
    <mergeCell ref="Y5:Y6"/>
    <mergeCell ref="Z5:Z6"/>
    <mergeCell ref="B3:I3"/>
    <mergeCell ref="L3:BF3"/>
    <mergeCell ref="B4:C4"/>
    <mergeCell ref="I4:J4"/>
    <mergeCell ref="L4:N4"/>
    <mergeCell ref="P4:R4"/>
    <mergeCell ref="T4:V4"/>
    <mergeCell ref="X4:Z4"/>
    <mergeCell ref="AB4:AC4"/>
    <mergeCell ref="AE4:AK4"/>
    <mergeCell ref="AM4:AO4"/>
    <mergeCell ref="BE4:BE6"/>
    <mergeCell ref="AH5:AJ5"/>
    <mergeCell ref="AK5:AK6"/>
    <mergeCell ref="L5:L6"/>
    <mergeCell ref="M5:M6"/>
    <mergeCell ref="D5:D6"/>
    <mergeCell ref="C5:C6"/>
    <mergeCell ref="F4:F6"/>
    <mergeCell ref="G4:G6"/>
    <mergeCell ref="AQ4:AW4"/>
    <mergeCell ref="AT5:AV5"/>
    <mergeCell ref="AW5:AW6"/>
    <mergeCell ref="AM5:AM6"/>
    <mergeCell ref="R5:R6"/>
    <mergeCell ref="AN5:AN6"/>
    <mergeCell ref="AO5:AO6"/>
    <mergeCell ref="AQ5:AS5"/>
    <mergeCell ref="T5:T6"/>
    <mergeCell ref="U5:U6"/>
    <mergeCell ref="V5:V6"/>
    <mergeCell ref="X5:X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13FE6-7E75-4981-8F6E-B693A4565F79}">
  <sheetPr codeName="Sheet7"/>
  <dimension ref="A1:BH42"/>
  <sheetViews>
    <sheetView workbookViewId="0"/>
  </sheetViews>
  <sheetFormatPr baseColWidth="10" defaultColWidth="8.83203125" defaultRowHeight="15" x14ac:dyDescent="0.2"/>
  <cols>
    <col min="2" max="2" width="16.1640625" bestFit="1" customWidth="1"/>
    <col min="3" max="3" width="16.6640625" bestFit="1" customWidth="1"/>
    <col min="4" max="4" width="0.83203125" customWidth="1"/>
    <col min="5" max="5" width="11.5" bestFit="1" customWidth="1"/>
    <col min="6" max="6" width="12.1640625" bestFit="1" customWidth="1"/>
    <col min="7" max="7" width="0.83203125" customWidth="1"/>
    <col min="8" max="8" width="10.5" customWidth="1"/>
    <col min="9" max="9" width="11.5" customWidth="1"/>
    <col min="10" max="10" width="5.5" customWidth="1"/>
    <col min="11" max="11" width="11.6640625" bestFit="1" customWidth="1"/>
    <col min="12" max="12" width="9.83203125" customWidth="1"/>
    <col min="13" max="13" width="9.1640625" customWidth="1"/>
    <col min="14" max="14" width="0.83203125" customWidth="1"/>
    <col min="15" max="15" width="12.5" customWidth="1"/>
    <col min="16" max="16" width="10.1640625" customWidth="1"/>
    <col min="17" max="17" width="9.1640625" customWidth="1"/>
    <col min="18" max="18" width="0.83203125" customWidth="1"/>
    <col min="19" max="19" width="12.5" customWidth="1"/>
    <col min="20" max="21" width="9.6640625" customWidth="1"/>
    <col min="22" max="22" width="0.83203125" customWidth="1"/>
    <col min="23" max="23" width="12.5" customWidth="1"/>
    <col min="24" max="24" width="9.6640625" customWidth="1"/>
    <col min="25" max="25" width="9.1640625" customWidth="1"/>
    <col min="26" max="26" width="0.83203125" customWidth="1"/>
    <col min="27" max="27" width="13.5" customWidth="1"/>
    <col min="28" max="28" width="10.1640625" customWidth="1"/>
    <col min="29" max="29" width="0.83203125" customWidth="1"/>
    <col min="30" max="30" width="12.6640625" customWidth="1"/>
    <col min="31" max="31" width="9.1640625" customWidth="1"/>
    <col min="32" max="32" width="14.83203125" customWidth="1"/>
    <col min="33" max="33" width="0.83203125" customWidth="1"/>
    <col min="34" max="36" width="9.6640625" customWidth="1"/>
    <col min="37" max="37" width="10" customWidth="1"/>
    <col min="38" max="38" width="0.83203125" customWidth="1"/>
    <col min="39" max="39" width="9.6640625" customWidth="1"/>
    <col min="40" max="40" width="10" customWidth="1"/>
    <col min="41" max="41" width="0.83203125" customWidth="1"/>
    <col min="42" max="47" width="9.6640625" customWidth="1"/>
    <col min="48" max="48" width="0.83203125" customWidth="1"/>
    <col min="49" max="49" width="12.5" customWidth="1"/>
    <col min="50" max="50" width="0.83203125" customWidth="1"/>
    <col min="51" max="51" width="12.5" customWidth="1"/>
    <col min="52" max="52" width="5.6640625" customWidth="1"/>
    <col min="54" max="54" width="5.6640625" customWidth="1"/>
    <col min="55" max="55" width="15.83203125" bestFit="1" customWidth="1"/>
    <col min="57" max="57" width="10.6640625" customWidth="1"/>
    <col min="58" max="58" width="8.5" customWidth="1"/>
    <col min="59" max="59" width="10.6640625" customWidth="1"/>
    <col min="60" max="60" width="9" customWidth="1"/>
  </cols>
  <sheetData>
    <row r="1" spans="1:60" x14ac:dyDescent="0.2">
      <c r="A1" s="2" t="s">
        <v>87</v>
      </c>
      <c r="E1" t="s">
        <v>46</v>
      </c>
    </row>
    <row r="2" spans="1:60" x14ac:dyDescent="0.2">
      <c r="AW2" s="103" t="s">
        <v>46</v>
      </c>
    </row>
    <row r="3" spans="1:60" x14ac:dyDescent="0.2">
      <c r="B3" s="252" t="s">
        <v>0</v>
      </c>
      <c r="C3" s="252"/>
      <c r="D3" s="252"/>
      <c r="E3" s="252"/>
      <c r="F3" s="252"/>
      <c r="G3" s="252"/>
      <c r="H3" s="252"/>
      <c r="I3" s="50"/>
      <c r="K3" s="265" t="s">
        <v>1</v>
      </c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BA3" s="13" t="s">
        <v>2</v>
      </c>
      <c r="BC3" s="17" t="s">
        <v>3</v>
      </c>
      <c r="BE3" s="251" t="s">
        <v>4</v>
      </c>
      <c r="BF3" s="251"/>
      <c r="BG3" s="251"/>
      <c r="BH3" s="251"/>
    </row>
    <row r="4" spans="1:60" x14ac:dyDescent="0.2">
      <c r="B4" s="253" t="s">
        <v>47</v>
      </c>
      <c r="C4" s="253"/>
      <c r="D4" s="3"/>
      <c r="E4" s="253" t="s">
        <v>48</v>
      </c>
      <c r="F4" s="253"/>
      <c r="G4" s="3"/>
      <c r="H4" s="253" t="s">
        <v>49</v>
      </c>
      <c r="I4" s="253"/>
      <c r="K4" s="242" t="s">
        <v>10</v>
      </c>
      <c r="L4" s="242"/>
      <c r="M4" s="242"/>
      <c r="N4" s="3"/>
      <c r="O4" s="242" t="s">
        <v>11</v>
      </c>
      <c r="P4" s="242"/>
      <c r="Q4" s="242"/>
      <c r="R4" s="3"/>
      <c r="S4" s="242" t="s">
        <v>12</v>
      </c>
      <c r="T4" s="242"/>
      <c r="U4" s="242"/>
      <c r="V4" s="3"/>
      <c r="W4" s="242" t="s">
        <v>13</v>
      </c>
      <c r="X4" s="242"/>
      <c r="Y4" s="242"/>
      <c r="Z4" s="3"/>
      <c r="AA4" s="242" t="s">
        <v>15</v>
      </c>
      <c r="AB4" s="242"/>
      <c r="AC4" s="3"/>
      <c r="AD4" s="242" t="s">
        <v>16</v>
      </c>
      <c r="AE4" s="242"/>
      <c r="AF4" s="242"/>
      <c r="AG4" s="12"/>
      <c r="AH4" s="242" t="s">
        <v>17</v>
      </c>
      <c r="AI4" s="242"/>
      <c r="AJ4" s="242"/>
      <c r="AK4" s="242"/>
      <c r="AL4" s="3"/>
      <c r="AM4" s="242" t="s">
        <v>72</v>
      </c>
      <c r="AN4" s="242"/>
      <c r="AO4" s="3"/>
      <c r="AP4" s="242" t="s">
        <v>88</v>
      </c>
      <c r="AQ4" s="242"/>
      <c r="AR4" s="242"/>
      <c r="AS4" s="242" t="s">
        <v>19</v>
      </c>
      <c r="AT4" s="242"/>
      <c r="AU4" s="242"/>
      <c r="AV4" s="3"/>
      <c r="AW4" s="23" t="s">
        <v>23</v>
      </c>
      <c r="AX4" s="12"/>
      <c r="AY4" s="9" t="s">
        <v>25</v>
      </c>
    </row>
    <row r="5" spans="1:60" ht="15" customHeight="1" x14ac:dyDescent="0.2">
      <c r="B5" t="s">
        <v>50</v>
      </c>
      <c r="C5" t="s">
        <v>73</v>
      </c>
      <c r="D5" s="1"/>
      <c r="E5" t="s">
        <v>74</v>
      </c>
      <c r="F5" s="11" t="s">
        <v>75</v>
      </c>
      <c r="G5" s="1"/>
      <c r="H5" t="s">
        <v>74</v>
      </c>
      <c r="I5" s="11" t="s">
        <v>75</v>
      </c>
      <c r="K5" s="243" t="s">
        <v>26</v>
      </c>
      <c r="L5" s="243" t="s">
        <v>27</v>
      </c>
      <c r="M5" s="243" t="s">
        <v>28</v>
      </c>
      <c r="N5" s="10"/>
      <c r="O5" s="243" t="s">
        <v>29</v>
      </c>
      <c r="P5" s="243" t="s">
        <v>30</v>
      </c>
      <c r="Q5" s="243" t="s">
        <v>28</v>
      </c>
      <c r="R5" s="10"/>
      <c r="S5" s="243" t="s">
        <v>29</v>
      </c>
      <c r="T5" s="243" t="s">
        <v>30</v>
      </c>
      <c r="U5" s="243" t="s">
        <v>28</v>
      </c>
      <c r="V5" s="10"/>
      <c r="W5" s="243" t="s">
        <v>29</v>
      </c>
      <c r="X5" s="243" t="s">
        <v>30</v>
      </c>
      <c r="Y5" s="243" t="s">
        <v>28</v>
      </c>
      <c r="Z5" s="10"/>
      <c r="AA5" s="244" t="s">
        <v>89</v>
      </c>
      <c r="AB5" s="243" t="s">
        <v>28</v>
      </c>
      <c r="AC5" s="10"/>
      <c r="AD5" s="254"/>
      <c r="AE5" s="255"/>
      <c r="AF5" s="256"/>
      <c r="AG5" s="11"/>
      <c r="AH5" s="241" t="s">
        <v>32</v>
      </c>
      <c r="AI5" s="247" t="s">
        <v>33</v>
      </c>
      <c r="AJ5" s="241" t="s">
        <v>90</v>
      </c>
      <c r="AK5" s="243" t="s">
        <v>28</v>
      </c>
      <c r="AL5" s="10"/>
      <c r="AM5" s="255"/>
      <c r="AN5" s="255"/>
      <c r="AO5" s="10"/>
      <c r="AP5" s="241" t="s">
        <v>35</v>
      </c>
      <c r="AQ5" s="247" t="s">
        <v>33</v>
      </c>
      <c r="AR5" s="243" t="s">
        <v>28</v>
      </c>
      <c r="AS5" s="241" t="s">
        <v>35</v>
      </c>
      <c r="AT5" s="247" t="s">
        <v>33</v>
      </c>
      <c r="AU5" s="243" t="s">
        <v>28</v>
      </c>
      <c r="AV5" s="10"/>
      <c r="AW5" s="11"/>
      <c r="AX5" s="11"/>
      <c r="AY5" s="241" t="s">
        <v>37</v>
      </c>
      <c r="BA5" s="241" t="s">
        <v>37</v>
      </c>
      <c r="BC5" s="241" t="s">
        <v>38</v>
      </c>
      <c r="BE5" s="10" t="s">
        <v>39</v>
      </c>
      <c r="BF5" s="10" t="s">
        <v>40</v>
      </c>
      <c r="BG5" s="10" t="s">
        <v>41</v>
      </c>
      <c r="BH5" t="s">
        <v>10</v>
      </c>
    </row>
    <row r="6" spans="1:60" ht="32" x14ac:dyDescent="0.2">
      <c r="B6" s="1" t="s">
        <v>78</v>
      </c>
      <c r="C6" s="1" t="s">
        <v>78</v>
      </c>
      <c r="D6" s="1"/>
      <c r="E6" s="247" t="s">
        <v>38</v>
      </c>
      <c r="F6" s="247"/>
      <c r="G6" s="1"/>
      <c r="H6" s="241" t="s">
        <v>37</v>
      </c>
      <c r="I6" s="241"/>
      <c r="K6" s="243"/>
      <c r="L6" s="243"/>
      <c r="M6" s="243"/>
      <c r="N6" s="10"/>
      <c r="O6" s="243"/>
      <c r="P6" s="243"/>
      <c r="Q6" s="243"/>
      <c r="R6" s="10"/>
      <c r="S6" s="243"/>
      <c r="T6" s="243"/>
      <c r="U6" s="243"/>
      <c r="V6" s="10"/>
      <c r="W6" s="243"/>
      <c r="X6" s="243"/>
      <c r="Y6" s="243"/>
      <c r="Z6" s="10"/>
      <c r="AA6" s="244"/>
      <c r="AB6" s="243"/>
      <c r="AC6" s="10"/>
      <c r="AD6" s="24" t="s">
        <v>91</v>
      </c>
      <c r="AE6" s="120" t="s">
        <v>33</v>
      </c>
      <c r="AF6" s="10" t="s">
        <v>92</v>
      </c>
      <c r="AG6" s="11"/>
      <c r="AH6" s="241"/>
      <c r="AI6" s="247"/>
      <c r="AJ6" s="241"/>
      <c r="AK6" s="243"/>
      <c r="AL6" s="10"/>
      <c r="AM6" s="119" t="s">
        <v>33</v>
      </c>
      <c r="AN6" s="118" t="s">
        <v>28</v>
      </c>
      <c r="AO6" s="10"/>
      <c r="AP6" s="241"/>
      <c r="AQ6" s="247"/>
      <c r="AR6" s="243"/>
      <c r="AS6" s="241"/>
      <c r="AT6" s="247"/>
      <c r="AU6" s="243"/>
      <c r="AV6" s="10"/>
      <c r="AW6" s="11" t="s">
        <v>93</v>
      </c>
      <c r="AX6" s="11"/>
      <c r="AY6" s="241"/>
      <c r="BA6" s="241"/>
      <c r="BC6" s="241"/>
      <c r="BE6" s="249" t="s">
        <v>43</v>
      </c>
      <c r="BF6" s="249"/>
      <c r="BG6" s="249"/>
      <c r="BH6" s="249"/>
    </row>
    <row r="7" spans="1:60" x14ac:dyDescent="0.2">
      <c r="A7">
        <v>2021</v>
      </c>
      <c r="B7" s="52">
        <v>1044</v>
      </c>
      <c r="C7" s="52">
        <v>500</v>
      </c>
      <c r="E7" s="16">
        <v>28</v>
      </c>
      <c r="F7" s="16">
        <v>40</v>
      </c>
      <c r="H7" s="20">
        <f t="shared" ref="H7:I41" si="0">+B7*E7</f>
        <v>29232</v>
      </c>
      <c r="I7" s="20">
        <f t="shared" si="0"/>
        <v>20000</v>
      </c>
      <c r="J7" s="53"/>
      <c r="K7" s="16">
        <v>28</v>
      </c>
      <c r="L7" s="199">
        <v>43.22</v>
      </c>
      <c r="M7" s="6">
        <f>+K7*L7</f>
        <v>1210.1599999999999</v>
      </c>
      <c r="O7" s="16">
        <v>6</v>
      </c>
      <c r="P7" s="4">
        <v>10.199999999999999</v>
      </c>
      <c r="Q7" s="6">
        <f>+O7*P7</f>
        <v>61.199999999999996</v>
      </c>
      <c r="S7" s="16">
        <v>54</v>
      </c>
      <c r="T7" s="4">
        <v>17.25</v>
      </c>
      <c r="U7" s="6">
        <f>+S7*T7</f>
        <v>931.5</v>
      </c>
      <c r="W7" s="5">
        <v>2.2999999999999998</v>
      </c>
      <c r="X7" s="4">
        <v>43.07</v>
      </c>
      <c r="Y7" s="21">
        <f>+W7*X7</f>
        <v>99.060999999999993</v>
      </c>
      <c r="AA7" s="4">
        <v>25</v>
      </c>
      <c r="AB7" s="6">
        <f t="shared" ref="AB7:AB41" si="1">+AA7*F7</f>
        <v>1000</v>
      </c>
      <c r="AD7" s="4">
        <v>59.4</v>
      </c>
      <c r="AE7" s="4">
        <v>35</v>
      </c>
      <c r="AF7" s="21">
        <f>+AD7*AE7</f>
        <v>2079</v>
      </c>
      <c r="AH7" s="1">
        <v>11</v>
      </c>
      <c r="AI7" s="1">
        <v>113</v>
      </c>
      <c r="AJ7" s="1">
        <v>300</v>
      </c>
      <c r="AK7" s="6">
        <f>+(AH7*AI7)+AJ7</f>
        <v>1543</v>
      </c>
      <c r="AM7" s="1">
        <v>40</v>
      </c>
      <c r="AN7" s="21">
        <f>AM7*F7</f>
        <v>1600</v>
      </c>
      <c r="AP7" s="1">
        <v>6</v>
      </c>
      <c r="AQ7" s="4">
        <v>200.28</v>
      </c>
      <c r="AR7" s="21">
        <f>+AP7*AQ7</f>
        <v>1201.68</v>
      </c>
      <c r="AS7" s="1">
        <v>19</v>
      </c>
      <c r="AT7" s="1">
        <v>200</v>
      </c>
      <c r="AU7" s="21">
        <f>+AS7*AT7</f>
        <v>3800</v>
      </c>
      <c r="AW7" s="6">
        <f>5.3*F7</f>
        <v>212</v>
      </c>
      <c r="AY7" s="21">
        <f>+M7+Q7+U7+Y7+AB7+AF7+AK7+AN7+AR7+AU7+AW7</f>
        <v>13737.601000000001</v>
      </c>
      <c r="BA7" s="21">
        <f t="shared" ref="BA7:BA41" si="2">+I7-AY7</f>
        <v>6262.3989999999994</v>
      </c>
      <c r="BC7" s="51">
        <f>+(M7+Q7+U7+Y7+AF7+AK7+AN7+AR7+AU7)/(C7-AA7)</f>
        <v>26.369686315789476</v>
      </c>
      <c r="BE7" s="4">
        <v>128.4</v>
      </c>
      <c r="BF7" s="4">
        <v>141.80000000000001</v>
      </c>
      <c r="BG7" s="4">
        <f>+(143.56+106.94)/2</f>
        <v>125.25</v>
      </c>
      <c r="BH7" s="4">
        <v>99.691915734713831</v>
      </c>
    </row>
    <row r="8" spans="1:60" x14ac:dyDescent="0.2">
      <c r="A8" s="8">
        <f t="shared" ref="A8:A41" si="3">+A7+1</f>
        <v>2022</v>
      </c>
      <c r="B8" s="22">
        <f>+B7*1.02</f>
        <v>1064.8800000000001</v>
      </c>
      <c r="C8" s="22">
        <f t="shared" ref="C8:C41" si="4">+C7*BE8/BE7</f>
        <v>507.32087227414326</v>
      </c>
      <c r="E8" s="15">
        <f>E7*((E$21/E$7)^(1/($A$21-$A$7)))</f>
        <v>27.704569589672058</v>
      </c>
      <c r="F8" s="15">
        <f>F7</f>
        <v>40</v>
      </c>
      <c r="H8" s="22">
        <f t="shared" si="0"/>
        <v>29502.042064649984</v>
      </c>
      <c r="I8" s="22">
        <f t="shared" si="0"/>
        <v>20292.834890965729</v>
      </c>
      <c r="K8" s="54">
        <f>+K7</f>
        <v>28</v>
      </c>
      <c r="L8" s="7">
        <f t="shared" ref="L8:L41" si="5">+L7*$BH8/$BH7</f>
        <v>42.98425454545454</v>
      </c>
      <c r="M8" s="7">
        <f t="shared" ref="M8:M41" si="6">+K8*L8</f>
        <v>1203.5591272727272</v>
      </c>
      <c r="O8" s="15">
        <f>+O7</f>
        <v>6</v>
      </c>
      <c r="P8" s="7">
        <f t="shared" ref="P8:P41" si="7">+P7*$BH8/$BH7</f>
        <v>10.144363636363634</v>
      </c>
      <c r="Q8" s="7">
        <f t="shared" ref="Q8:Q41" si="8">+O8*P8</f>
        <v>60.866181818181801</v>
      </c>
      <c r="S8" s="15">
        <f>+S7</f>
        <v>54</v>
      </c>
      <c r="T8" s="7">
        <f t="shared" ref="T8:T41" si="9">+T7*$BH8/$BH7</f>
        <v>17.155909090909088</v>
      </c>
      <c r="U8" s="7">
        <f t="shared" ref="U8:U41" si="10">+S8*T8</f>
        <v>926.41909090909076</v>
      </c>
      <c r="W8" s="14">
        <f>+W7</f>
        <v>2.2999999999999998</v>
      </c>
      <c r="X8" s="7">
        <f t="shared" ref="X8:X41" si="11">+X7*$BH8/$BH7</f>
        <v>42.835072727272724</v>
      </c>
      <c r="Y8" s="22">
        <f t="shared" ref="Y8:Y41" si="12">+W8*X8</f>
        <v>98.520667272727252</v>
      </c>
      <c r="AA8" s="7">
        <f t="shared" ref="AA8:AA41" si="13">+AA7*(0.5*$BF8/$BF7+0.5*$BG8/$BG7)</f>
        <v>25.8</v>
      </c>
      <c r="AB8" s="7">
        <f t="shared" si="1"/>
        <v>1032</v>
      </c>
      <c r="AD8" s="7">
        <f>+AD7</f>
        <v>59.4</v>
      </c>
      <c r="AE8" s="7">
        <f t="shared" ref="AE8:AE41" si="14">+AE7*(0.5*$BF8/$BF7+0.5*$BG8/$BG7)</f>
        <v>36.120000000000005</v>
      </c>
      <c r="AF8" s="22">
        <f t="shared" ref="AF8:AF41" si="15">+AD8*AE8</f>
        <v>2145.5280000000002</v>
      </c>
      <c r="AH8" s="15">
        <f>+AH7</f>
        <v>11</v>
      </c>
      <c r="AI8" s="7">
        <f t="shared" ref="AI8:AI41" si="16">+AI7*BE8/BE7</f>
        <v>114.65451713395638</v>
      </c>
      <c r="AJ8" s="7">
        <f t="shared" ref="AJ8:AJ41" si="17">+AJ7*BE8/BE7</f>
        <v>304.39252336448595</v>
      </c>
      <c r="AK8" s="7">
        <f>(+AH8*AI8)+AJ8</f>
        <v>1565.5922118380061</v>
      </c>
      <c r="AM8" s="7">
        <f t="shared" ref="AM8:AM41" si="18">+AM7*$BF8/$BF7</f>
        <v>41.28</v>
      </c>
      <c r="AN8" s="22">
        <f>AM8*F8</f>
        <v>1651.2</v>
      </c>
      <c r="AP8" s="7">
        <f>+AP7</f>
        <v>6</v>
      </c>
      <c r="AQ8" s="7">
        <f t="shared" ref="AQ8:AQ41" si="19">+AQ7*$BF8/$BF7</f>
        <v>206.68896000000001</v>
      </c>
      <c r="AR8" s="22">
        <f>+AP8*AQ8</f>
        <v>1240.1337600000002</v>
      </c>
      <c r="AS8" s="7">
        <f>+AS7</f>
        <v>19</v>
      </c>
      <c r="AT8" s="7">
        <f t="shared" ref="AT8:AT41" si="20">+AT7*$BF8/$BF7</f>
        <v>206.39999999999998</v>
      </c>
      <c r="AU8" s="22">
        <f>+AS8*AT8</f>
        <v>3921.5999999999995</v>
      </c>
      <c r="AW8" s="7">
        <f>5.3*F8</f>
        <v>212</v>
      </c>
      <c r="AY8" s="22">
        <f>+M8+Q8+U8+Y8+AB8+AF8+AK8+AN8+AR8+AU8+AW8</f>
        <v>14057.419039110733</v>
      </c>
      <c r="BA8" s="22">
        <f t="shared" si="2"/>
        <v>6235.4158518549957</v>
      </c>
      <c r="BC8" s="51">
        <f t="shared" ref="BC8:BC41" si="21">+(M8+Q8+U8+Y8+AF8+AK8+AN8+AR8+AU8)/(C8-AA8)</f>
        <v>26.610308663454358</v>
      </c>
      <c r="BE8" s="7">
        <v>130.28</v>
      </c>
      <c r="BF8" s="7">
        <f>+BF7+(BF7*0.032)</f>
        <v>146.33760000000001</v>
      </c>
      <c r="BG8" s="7">
        <f>+BG7+(BG7*0.032)</f>
        <v>129.25800000000001</v>
      </c>
      <c r="BH8" s="7">
        <v>99.1481416488881</v>
      </c>
    </row>
    <row r="9" spans="1:60" x14ac:dyDescent="0.2">
      <c r="A9" s="8">
        <f t="shared" si="3"/>
        <v>2023</v>
      </c>
      <c r="B9" s="22">
        <f>+B8*0.99</f>
        <v>1054.2312000000002</v>
      </c>
      <c r="C9" s="22">
        <f t="shared" si="4"/>
        <v>525.07788161993767</v>
      </c>
      <c r="E9" s="15">
        <f t="shared" ref="E9:E20" si="22">E8*((E$21/E$7)^(1/($A$21-$A$7)))</f>
        <v>27.412256291035064</v>
      </c>
      <c r="F9" s="15">
        <f t="shared" ref="F9:F41" si="23">F8</f>
        <v>40</v>
      </c>
      <c r="H9" s="22">
        <f t="shared" si="0"/>
        <v>28898.855844405451</v>
      </c>
      <c r="I9" s="22">
        <f t="shared" si="0"/>
        <v>21003.115264797507</v>
      </c>
      <c r="K9" s="54">
        <f t="shared" ref="K9:K41" si="24">+K8</f>
        <v>28</v>
      </c>
      <c r="L9" s="7">
        <f t="shared" si="5"/>
        <v>43.461545544527404</v>
      </c>
      <c r="M9" s="7">
        <f t="shared" si="6"/>
        <v>1216.9232752467674</v>
      </c>
      <c r="O9" s="15">
        <f t="shared" ref="O9:O41" si="25">+O8</f>
        <v>6</v>
      </c>
      <c r="P9" s="7">
        <f t="shared" si="7"/>
        <v>10.257005195608038</v>
      </c>
      <c r="Q9" s="7">
        <f t="shared" si="8"/>
        <v>61.542031173648226</v>
      </c>
      <c r="S9" s="15">
        <f t="shared" ref="S9:S41" si="26">+S8</f>
        <v>54</v>
      </c>
      <c r="T9" s="7">
        <f t="shared" si="9"/>
        <v>17.346405845513594</v>
      </c>
      <c r="U9" s="7">
        <f t="shared" si="10"/>
        <v>936.70591565773407</v>
      </c>
      <c r="W9" s="14">
        <f t="shared" ref="W9:W41" si="27">+W8</f>
        <v>2.2999999999999998</v>
      </c>
      <c r="X9" s="7">
        <f t="shared" si="11"/>
        <v>43.310707232827284</v>
      </c>
      <c r="Y9" s="22">
        <f t="shared" si="12"/>
        <v>99.614626635502745</v>
      </c>
      <c r="AA9" s="7">
        <f t="shared" si="13"/>
        <v>26.625600000000002</v>
      </c>
      <c r="AB9" s="7">
        <f t="shared" si="1"/>
        <v>1065.0240000000001</v>
      </c>
      <c r="AD9" s="7">
        <f t="shared" ref="AD9:AD41" si="28">+AD8</f>
        <v>59.4</v>
      </c>
      <c r="AE9" s="7">
        <f t="shared" si="14"/>
        <v>37.275840000000002</v>
      </c>
      <c r="AF9" s="22">
        <f t="shared" si="15"/>
        <v>2214.1848960000002</v>
      </c>
      <c r="AH9" s="15">
        <f t="shared" ref="AH9:AH41" si="29">+AH8</f>
        <v>11</v>
      </c>
      <c r="AI9" s="7">
        <f t="shared" si="16"/>
        <v>118.66760124610592</v>
      </c>
      <c r="AJ9" s="7">
        <f t="shared" si="17"/>
        <v>315.04672897196258</v>
      </c>
      <c r="AK9" s="7">
        <f t="shared" ref="AK9:AK41" si="30">(+AH9*AI9)+AJ9</f>
        <v>1620.3903426791276</v>
      </c>
      <c r="AM9" s="7">
        <f t="shared" si="18"/>
        <v>42.600960000000001</v>
      </c>
      <c r="AN9" s="22">
        <f t="shared" ref="AN9:AN41" si="31">AM9*F9</f>
        <v>1704.0383999999999</v>
      </c>
      <c r="AP9" s="7">
        <f t="shared" ref="AP9:AP41" si="32">+AP8</f>
        <v>6</v>
      </c>
      <c r="AQ9" s="7">
        <f t="shared" si="19"/>
        <v>213.30300671999998</v>
      </c>
      <c r="AR9" s="22">
        <f t="shared" ref="AR9:AR41" si="33">+AP9*AQ9</f>
        <v>1279.8180403199999</v>
      </c>
      <c r="AS9" s="7">
        <f t="shared" ref="AS9:AS41" si="34">+AS8</f>
        <v>19</v>
      </c>
      <c r="AT9" s="7">
        <f t="shared" si="20"/>
        <v>213.00479999999996</v>
      </c>
      <c r="AU9" s="22">
        <f t="shared" ref="AU9:AU41" si="35">+AS9*AT9</f>
        <v>4047.0911999999994</v>
      </c>
      <c r="AW9" s="7">
        <f t="shared" ref="AW9:AW41" si="36">5.3*F9</f>
        <v>212</v>
      </c>
      <c r="AY9" s="22">
        <f t="shared" ref="AY9:AY41" si="37">+M9+Q9+U9+Y9+AB9+AF9+AK9+AN9+AR9+AU9+AW9</f>
        <v>14457.332727712779</v>
      </c>
      <c r="BA9" s="22">
        <f t="shared" si="2"/>
        <v>6545.7825370847277</v>
      </c>
      <c r="BC9" s="51">
        <f t="shared" si="21"/>
        <v>26.442468444276411</v>
      </c>
      <c r="BE9" s="7">
        <v>134.84</v>
      </c>
      <c r="BF9" s="7">
        <f t="shared" ref="BF9:BG24" si="38">+BF8+(BF8*0.032)</f>
        <v>151.0204032</v>
      </c>
      <c r="BG9" s="7">
        <f t="shared" si="38"/>
        <v>133.39425600000001</v>
      </c>
      <c r="BH9" s="7">
        <v>100.24906839716456</v>
      </c>
    </row>
    <row r="10" spans="1:60" x14ac:dyDescent="0.2">
      <c r="A10" s="8">
        <f t="shared" si="3"/>
        <v>2024</v>
      </c>
      <c r="B10" s="22">
        <f>+B9*0.99</f>
        <v>1043.6888880000001</v>
      </c>
      <c r="C10" s="22">
        <f t="shared" si="4"/>
        <v>538.20093457943926</v>
      </c>
      <c r="E10" s="15">
        <f t="shared" si="22"/>
        <v>27.123027215175235</v>
      </c>
      <c r="F10" s="15">
        <f t="shared" si="23"/>
        <v>40</v>
      </c>
      <c r="H10" s="22">
        <f t="shared" si="0"/>
        <v>28308.00211339998</v>
      </c>
      <c r="I10" s="22">
        <f t="shared" si="0"/>
        <v>21528.037383177572</v>
      </c>
      <c r="K10" s="54">
        <f t="shared" si="24"/>
        <v>28</v>
      </c>
      <c r="L10" s="7">
        <f t="shared" si="5"/>
        <v>44.763471134777937</v>
      </c>
      <c r="M10" s="7">
        <f t="shared" si="6"/>
        <v>1253.3771917737822</v>
      </c>
      <c r="O10" s="15">
        <f t="shared" si="25"/>
        <v>6</v>
      </c>
      <c r="P10" s="7">
        <f t="shared" si="7"/>
        <v>10.564262044764805</v>
      </c>
      <c r="Q10" s="7">
        <f t="shared" si="8"/>
        <v>63.385572268588831</v>
      </c>
      <c r="S10" s="15">
        <f t="shared" si="26"/>
        <v>54</v>
      </c>
      <c r="T10" s="7">
        <f t="shared" si="9"/>
        <v>17.866031399234597</v>
      </c>
      <c r="U10" s="7">
        <f t="shared" si="10"/>
        <v>964.7656955586682</v>
      </c>
      <c r="W10" s="14">
        <f t="shared" si="27"/>
        <v>2.2999999999999998</v>
      </c>
      <c r="X10" s="7">
        <f t="shared" si="11"/>
        <v>44.608114340001983</v>
      </c>
      <c r="Y10" s="22">
        <f t="shared" si="12"/>
        <v>102.59866298200456</v>
      </c>
      <c r="AA10" s="7">
        <f t="shared" si="13"/>
        <v>27.477619200000003</v>
      </c>
      <c r="AB10" s="7">
        <f t="shared" si="1"/>
        <v>1099.1047680000001</v>
      </c>
      <c r="AD10" s="7">
        <f t="shared" si="28"/>
        <v>59.4</v>
      </c>
      <c r="AE10" s="7">
        <f t="shared" si="14"/>
        <v>38.468666880000001</v>
      </c>
      <c r="AF10" s="22">
        <f t="shared" si="15"/>
        <v>2285.0388126719999</v>
      </c>
      <c r="AH10" s="15">
        <f t="shared" si="29"/>
        <v>11</v>
      </c>
      <c r="AI10" s="7">
        <f t="shared" si="16"/>
        <v>121.63341121495328</v>
      </c>
      <c r="AJ10" s="7">
        <f t="shared" si="17"/>
        <v>322.9205607476635</v>
      </c>
      <c r="AK10" s="7">
        <f t="shared" si="30"/>
        <v>1660.8880841121497</v>
      </c>
      <c r="AM10" s="7">
        <f t="shared" si="18"/>
        <v>43.964190720000005</v>
      </c>
      <c r="AN10" s="22">
        <f t="shared" si="31"/>
        <v>1758.5676288000002</v>
      </c>
      <c r="AP10" s="7">
        <f t="shared" si="32"/>
        <v>6</v>
      </c>
      <c r="AQ10" s="7">
        <f t="shared" si="19"/>
        <v>220.12870293504</v>
      </c>
      <c r="AR10" s="22">
        <f t="shared" si="33"/>
        <v>1320.77221761024</v>
      </c>
      <c r="AS10" s="7">
        <f t="shared" si="34"/>
        <v>19</v>
      </c>
      <c r="AT10" s="7">
        <f t="shared" si="20"/>
        <v>219.8209536</v>
      </c>
      <c r="AU10" s="22">
        <f t="shared" si="35"/>
        <v>4176.5981184000002</v>
      </c>
      <c r="AW10" s="7">
        <f t="shared" si="36"/>
        <v>212</v>
      </c>
      <c r="AY10" s="22">
        <f t="shared" si="37"/>
        <v>14897.096752177433</v>
      </c>
      <c r="BA10" s="22">
        <f t="shared" si="2"/>
        <v>6630.9406310001395</v>
      </c>
      <c r="BC10" s="51">
        <f t="shared" si="21"/>
        <v>26.601472020293009</v>
      </c>
      <c r="BE10" s="7">
        <v>138.21</v>
      </c>
      <c r="BF10" s="7">
        <f t="shared" si="38"/>
        <v>155.85305610240002</v>
      </c>
      <c r="BG10" s="7">
        <f t="shared" si="38"/>
        <v>137.66287219200001</v>
      </c>
      <c r="BH10" s="7">
        <v>103.25210995746359</v>
      </c>
    </row>
    <row r="11" spans="1:60" x14ac:dyDescent="0.2">
      <c r="A11" s="8">
        <f t="shared" si="3"/>
        <v>2025</v>
      </c>
      <c r="B11" s="22">
        <f t="shared" ref="B11:B12" si="39">+B10*0.99</f>
        <v>1033.2519991200002</v>
      </c>
      <c r="C11" s="22">
        <f t="shared" si="4"/>
        <v>555.42336448598132</v>
      </c>
      <c r="E11" s="15">
        <f t="shared" si="22"/>
        <v>26.836849820192551</v>
      </c>
      <c r="F11" s="15">
        <f t="shared" si="23"/>
        <v>40</v>
      </c>
      <c r="H11" s="22">
        <f t="shared" si="0"/>
        <v>27729.22872679717</v>
      </c>
      <c r="I11" s="22">
        <f t="shared" si="0"/>
        <v>22216.934579439254</v>
      </c>
      <c r="K11" s="54">
        <f t="shared" si="24"/>
        <v>28</v>
      </c>
      <c r="L11" s="7">
        <f t="shared" si="5"/>
        <v>45.889290980212017</v>
      </c>
      <c r="M11" s="7">
        <f t="shared" si="6"/>
        <v>1284.9001474459365</v>
      </c>
      <c r="O11" s="15">
        <f t="shared" si="25"/>
        <v>6</v>
      </c>
      <c r="P11" s="7">
        <f t="shared" si="7"/>
        <v>10.829957612174049</v>
      </c>
      <c r="Q11" s="7">
        <f t="shared" si="8"/>
        <v>64.979745673044292</v>
      </c>
      <c r="S11" s="15">
        <f t="shared" si="26"/>
        <v>54</v>
      </c>
      <c r="T11" s="7">
        <f t="shared" si="9"/>
        <v>18.315369491176703</v>
      </c>
      <c r="U11" s="7">
        <f t="shared" si="10"/>
        <v>989.02995252354197</v>
      </c>
      <c r="W11" s="14">
        <f t="shared" si="27"/>
        <v>2.2999999999999998</v>
      </c>
      <c r="X11" s="7">
        <f t="shared" si="11"/>
        <v>45.730026897680041</v>
      </c>
      <c r="Y11" s="22">
        <f t="shared" si="12"/>
        <v>105.17906186466409</v>
      </c>
      <c r="AA11" s="7">
        <f t="shared" si="13"/>
        <v>28.356903014400004</v>
      </c>
      <c r="AB11" s="7">
        <f t="shared" si="1"/>
        <v>1134.2761205760003</v>
      </c>
      <c r="AD11" s="7">
        <f t="shared" si="28"/>
        <v>59.4</v>
      </c>
      <c r="AE11" s="7">
        <f t="shared" si="14"/>
        <v>39.699664220160003</v>
      </c>
      <c r="AF11" s="22">
        <f t="shared" si="15"/>
        <v>2358.1600546775039</v>
      </c>
      <c r="AH11" s="15">
        <f t="shared" si="29"/>
        <v>11</v>
      </c>
      <c r="AI11" s="7">
        <f t="shared" si="16"/>
        <v>125.52568037383178</v>
      </c>
      <c r="AJ11" s="7">
        <f t="shared" si="17"/>
        <v>333.25401869158873</v>
      </c>
      <c r="AK11" s="7">
        <f t="shared" si="30"/>
        <v>1714.0365028037384</v>
      </c>
      <c r="AM11" s="7">
        <f t="shared" si="18"/>
        <v>45.371044823040002</v>
      </c>
      <c r="AN11" s="22">
        <f t="shared" si="31"/>
        <v>1814.8417929216</v>
      </c>
      <c r="AP11" s="7">
        <f t="shared" si="32"/>
        <v>6</v>
      </c>
      <c r="AQ11" s="7">
        <f t="shared" si="19"/>
        <v>227.17282142896127</v>
      </c>
      <c r="AR11" s="22">
        <f t="shared" si="33"/>
        <v>1363.0369285737677</v>
      </c>
      <c r="AS11" s="7">
        <f t="shared" si="34"/>
        <v>19</v>
      </c>
      <c r="AT11" s="7">
        <f t="shared" si="20"/>
        <v>226.85522411519997</v>
      </c>
      <c r="AU11" s="22">
        <f t="shared" si="35"/>
        <v>4310.2492581887991</v>
      </c>
      <c r="AW11" s="7">
        <f t="shared" si="36"/>
        <v>212</v>
      </c>
      <c r="AY11" s="22">
        <f t="shared" si="37"/>
        <v>15350.689565248595</v>
      </c>
      <c r="BA11" s="22">
        <f t="shared" si="2"/>
        <v>6866.2450141906593</v>
      </c>
      <c r="BC11" s="51">
        <f t="shared" si="21"/>
        <v>26.570488673424524</v>
      </c>
      <c r="BE11" s="7">
        <f t="shared" ref="BE11:BG26" si="40">+BE10+(BE10*0.032)</f>
        <v>142.63272000000001</v>
      </c>
      <c r="BF11" s="7">
        <f t="shared" si="38"/>
        <v>160.84035389767681</v>
      </c>
      <c r="BG11" s="7">
        <f t="shared" si="38"/>
        <v>142.06808410214401</v>
      </c>
      <c r="BH11" s="7">
        <v>105.84894330229197</v>
      </c>
    </row>
    <row r="12" spans="1:60" x14ac:dyDescent="0.2">
      <c r="A12" s="8">
        <f t="shared" si="3"/>
        <v>2026</v>
      </c>
      <c r="B12" s="22">
        <f t="shared" si="39"/>
        <v>1022.9194791288002</v>
      </c>
      <c r="C12" s="22">
        <f t="shared" si="4"/>
        <v>573.19691214953264</v>
      </c>
      <c r="E12" s="15">
        <f t="shared" si="22"/>
        <v>26.553691907539378</v>
      </c>
      <c r="F12" s="15">
        <f t="shared" si="23"/>
        <v>40</v>
      </c>
      <c r="H12" s="22">
        <f t="shared" si="0"/>
        <v>27162.288695006817</v>
      </c>
      <c r="I12" s="22">
        <f t="shared" si="0"/>
        <v>22927.876485981305</v>
      </c>
      <c r="K12" s="54">
        <f t="shared" si="24"/>
        <v>28</v>
      </c>
      <c r="L12" s="7">
        <f t="shared" si="5"/>
        <v>47.818990565038142</v>
      </c>
      <c r="M12" s="7">
        <f t="shared" si="6"/>
        <v>1338.9317358210681</v>
      </c>
      <c r="O12" s="15">
        <f t="shared" si="25"/>
        <v>6</v>
      </c>
      <c r="P12" s="7">
        <f t="shared" si="7"/>
        <v>11.285370286057125</v>
      </c>
      <c r="Q12" s="7">
        <f t="shared" si="8"/>
        <v>67.712221716342754</v>
      </c>
      <c r="S12" s="15">
        <f t="shared" si="26"/>
        <v>54</v>
      </c>
      <c r="T12" s="7">
        <f t="shared" si="9"/>
        <v>19.085552689655433</v>
      </c>
      <c r="U12" s="7">
        <f t="shared" si="10"/>
        <v>1030.6198452413935</v>
      </c>
      <c r="W12" s="14">
        <f t="shared" si="27"/>
        <v>2.2999999999999998</v>
      </c>
      <c r="X12" s="7">
        <f t="shared" si="11"/>
        <v>47.653029237302007</v>
      </c>
      <c r="Y12" s="22">
        <f t="shared" si="12"/>
        <v>109.60196724579461</v>
      </c>
      <c r="AA12" s="7">
        <f t="shared" si="13"/>
        <v>29.264323910860806</v>
      </c>
      <c r="AB12" s="7">
        <f t="shared" si="1"/>
        <v>1170.5729564344322</v>
      </c>
      <c r="AD12" s="7">
        <f t="shared" si="28"/>
        <v>59.4</v>
      </c>
      <c r="AE12" s="7">
        <f t="shared" si="14"/>
        <v>40.970053475205127</v>
      </c>
      <c r="AF12" s="22">
        <f t="shared" si="15"/>
        <v>2433.6211764271843</v>
      </c>
      <c r="AH12" s="15">
        <f t="shared" si="29"/>
        <v>11</v>
      </c>
      <c r="AI12" s="7">
        <f t="shared" si="16"/>
        <v>129.5425021457944</v>
      </c>
      <c r="AJ12" s="7">
        <f t="shared" si="17"/>
        <v>343.91814728971957</v>
      </c>
      <c r="AK12" s="7">
        <f t="shared" si="30"/>
        <v>1768.8856708934579</v>
      </c>
      <c r="AM12" s="7">
        <f t="shared" si="18"/>
        <v>46.822918257377282</v>
      </c>
      <c r="AN12" s="22">
        <f t="shared" si="31"/>
        <v>1872.9167302950914</v>
      </c>
      <c r="AP12" s="7">
        <f t="shared" si="32"/>
        <v>6</v>
      </c>
      <c r="AQ12" s="7">
        <f t="shared" si="19"/>
        <v>234.44235171468802</v>
      </c>
      <c r="AR12" s="22">
        <f t="shared" si="33"/>
        <v>1406.6541102881281</v>
      </c>
      <c r="AS12" s="7">
        <f t="shared" si="34"/>
        <v>19</v>
      </c>
      <c r="AT12" s="7">
        <f t="shared" si="20"/>
        <v>234.11459128688637</v>
      </c>
      <c r="AU12" s="22">
        <f t="shared" si="35"/>
        <v>4448.1772344508408</v>
      </c>
      <c r="AW12" s="7">
        <f t="shared" si="36"/>
        <v>212</v>
      </c>
      <c r="AY12" s="22">
        <f t="shared" si="37"/>
        <v>15859.693648813734</v>
      </c>
      <c r="BA12" s="22">
        <f t="shared" si="2"/>
        <v>7068.1828371675711</v>
      </c>
      <c r="BC12" s="51">
        <f t="shared" si="21"/>
        <v>26.615652390415139</v>
      </c>
      <c r="BE12" s="7">
        <f t="shared" si="40"/>
        <v>147.19696704</v>
      </c>
      <c r="BF12" s="7">
        <f t="shared" si="38"/>
        <v>165.98724522240246</v>
      </c>
      <c r="BG12" s="7">
        <f t="shared" si="38"/>
        <v>146.61426279341262</v>
      </c>
      <c r="BH12" s="7">
        <v>110.30001799927945</v>
      </c>
    </row>
    <row r="13" spans="1:60" x14ac:dyDescent="0.2">
      <c r="A13" s="8">
        <f t="shared" si="3"/>
        <v>2027</v>
      </c>
      <c r="B13" s="22">
        <f>+B12</f>
        <v>1022.9194791288002</v>
      </c>
      <c r="C13" s="22">
        <f t="shared" si="4"/>
        <v>591.53921333831772</v>
      </c>
      <c r="E13" s="15">
        <f t="shared" si="22"/>
        <v>26.27352161839773</v>
      </c>
      <c r="F13" s="15">
        <f t="shared" si="23"/>
        <v>40</v>
      </c>
      <c r="H13" s="22">
        <f t="shared" si="0"/>
        <v>26875.697048770675</v>
      </c>
      <c r="I13" s="22">
        <f t="shared" si="0"/>
        <v>23661.568533532707</v>
      </c>
      <c r="K13" s="54">
        <f t="shared" si="24"/>
        <v>28</v>
      </c>
      <c r="L13" s="7">
        <f t="shared" si="5"/>
        <v>49.829399293359195</v>
      </c>
      <c r="M13" s="7">
        <f t="shared" si="6"/>
        <v>1395.2231802140575</v>
      </c>
      <c r="O13" s="15">
        <f t="shared" si="25"/>
        <v>6</v>
      </c>
      <c r="P13" s="7">
        <f t="shared" si="7"/>
        <v>11.759830467197217</v>
      </c>
      <c r="Q13" s="7">
        <f t="shared" si="8"/>
        <v>70.558982803183298</v>
      </c>
      <c r="S13" s="15">
        <f t="shared" si="26"/>
        <v>54</v>
      </c>
      <c r="T13" s="7">
        <f t="shared" si="9"/>
        <v>19.887948584230585</v>
      </c>
      <c r="U13" s="7">
        <f t="shared" si="10"/>
        <v>1073.9492235484515</v>
      </c>
      <c r="W13" s="14">
        <f t="shared" si="27"/>
        <v>2.2999999999999998</v>
      </c>
      <c r="X13" s="7">
        <f t="shared" si="11"/>
        <v>49.656460610018058</v>
      </c>
      <c r="Y13" s="22">
        <f t="shared" si="12"/>
        <v>114.20985940304152</v>
      </c>
      <c r="AA13" s="7">
        <f t="shared" si="13"/>
        <v>30.200782276008354</v>
      </c>
      <c r="AB13" s="7">
        <f t="shared" si="1"/>
        <v>1208.0312910403341</v>
      </c>
      <c r="AD13" s="7">
        <f t="shared" si="28"/>
        <v>59.4</v>
      </c>
      <c r="AE13" s="7">
        <f t="shared" si="14"/>
        <v>42.28109518641169</v>
      </c>
      <c r="AF13" s="22">
        <f t="shared" si="15"/>
        <v>2511.4970540728546</v>
      </c>
      <c r="AH13" s="15">
        <f t="shared" si="29"/>
        <v>11</v>
      </c>
      <c r="AI13" s="7">
        <f t="shared" si="16"/>
        <v>133.68786221445981</v>
      </c>
      <c r="AJ13" s="7">
        <f t="shared" si="17"/>
        <v>354.92352800299062</v>
      </c>
      <c r="AK13" s="7">
        <f t="shared" si="30"/>
        <v>1825.4900123620487</v>
      </c>
      <c r="AM13" s="7">
        <f t="shared" si="18"/>
        <v>48.321251641613351</v>
      </c>
      <c r="AN13" s="22">
        <f t="shared" si="31"/>
        <v>1932.850065664534</v>
      </c>
      <c r="AP13" s="7">
        <f t="shared" si="32"/>
        <v>6</v>
      </c>
      <c r="AQ13" s="7">
        <f t="shared" si="19"/>
        <v>241.94450696955806</v>
      </c>
      <c r="AR13" s="22">
        <f t="shared" si="33"/>
        <v>1451.6670418173485</v>
      </c>
      <c r="AS13" s="7">
        <f t="shared" si="34"/>
        <v>19</v>
      </c>
      <c r="AT13" s="7">
        <f t="shared" si="20"/>
        <v>241.60625820806675</v>
      </c>
      <c r="AU13" s="22">
        <f t="shared" si="35"/>
        <v>4590.5189059532686</v>
      </c>
      <c r="AW13" s="7">
        <f t="shared" si="36"/>
        <v>212</v>
      </c>
      <c r="AY13" s="22">
        <f t="shared" si="37"/>
        <v>16385.995616879121</v>
      </c>
      <c r="BA13" s="22">
        <f t="shared" si="2"/>
        <v>7275.5729166535857</v>
      </c>
      <c r="BC13" s="51">
        <f t="shared" si="21"/>
        <v>26.661214514595642</v>
      </c>
      <c r="BE13" s="7">
        <f t="shared" si="40"/>
        <v>151.90726998528001</v>
      </c>
      <c r="BF13" s="7">
        <f t="shared" si="38"/>
        <v>171.29883706951935</v>
      </c>
      <c r="BG13" s="7">
        <f t="shared" si="38"/>
        <v>151.30591920280182</v>
      </c>
      <c r="BH13" s="7">
        <v>114.93725764611229</v>
      </c>
    </row>
    <row r="14" spans="1:60" x14ac:dyDescent="0.2">
      <c r="A14" s="8">
        <f t="shared" si="3"/>
        <v>2028</v>
      </c>
      <c r="B14" s="22">
        <f t="shared" ref="B14:B41" si="41">+B13</f>
        <v>1022.9194791288002</v>
      </c>
      <c r="C14" s="22">
        <f t="shared" si="4"/>
        <v>610.4684681651438</v>
      </c>
      <c r="E14" s="15">
        <f t="shared" si="22"/>
        <v>25.996307430094756</v>
      </c>
      <c r="F14" s="15">
        <f t="shared" si="23"/>
        <v>40</v>
      </c>
      <c r="H14" s="22">
        <f t="shared" si="0"/>
        <v>26592.129255664684</v>
      </c>
      <c r="I14" s="22">
        <f t="shared" si="0"/>
        <v>24418.738726605752</v>
      </c>
      <c r="K14" s="54">
        <f t="shared" si="24"/>
        <v>28</v>
      </c>
      <c r="L14" s="7">
        <f t="shared" si="5"/>
        <v>51.745479040061468</v>
      </c>
      <c r="M14" s="7">
        <f t="shared" si="6"/>
        <v>1448.8734131217211</v>
      </c>
      <c r="O14" s="15">
        <f t="shared" si="25"/>
        <v>6</v>
      </c>
      <c r="P14" s="7">
        <f t="shared" si="7"/>
        <v>12.212028834072811</v>
      </c>
      <c r="Q14" s="7">
        <f t="shared" si="8"/>
        <v>73.272173004436866</v>
      </c>
      <c r="S14" s="15">
        <f t="shared" si="26"/>
        <v>54</v>
      </c>
      <c r="T14" s="7">
        <f t="shared" si="9"/>
        <v>20.652695822329019</v>
      </c>
      <c r="U14" s="7">
        <f t="shared" si="10"/>
        <v>1115.245574405767</v>
      </c>
      <c r="W14" s="14">
        <f t="shared" si="27"/>
        <v>2.2999999999999998</v>
      </c>
      <c r="X14" s="7">
        <f t="shared" si="11"/>
        <v>51.565890380736867</v>
      </c>
      <c r="Y14" s="22">
        <f t="shared" si="12"/>
        <v>118.60154787569479</v>
      </c>
      <c r="AA14" s="7">
        <f t="shared" si="13"/>
        <v>31.167207308840624</v>
      </c>
      <c r="AB14" s="7">
        <f t="shared" si="1"/>
        <v>1246.688292353625</v>
      </c>
      <c r="AD14" s="7">
        <f t="shared" si="28"/>
        <v>59.4</v>
      </c>
      <c r="AE14" s="7">
        <f t="shared" si="14"/>
        <v>43.634090232376863</v>
      </c>
      <c r="AF14" s="22">
        <f t="shared" si="15"/>
        <v>2591.8649598031857</v>
      </c>
      <c r="AH14" s="15">
        <f t="shared" si="29"/>
        <v>11</v>
      </c>
      <c r="AI14" s="7">
        <f t="shared" si="16"/>
        <v>137.96587380532253</v>
      </c>
      <c r="AJ14" s="7">
        <f t="shared" si="17"/>
        <v>366.28108089908631</v>
      </c>
      <c r="AK14" s="7">
        <f t="shared" si="30"/>
        <v>1883.9056927576339</v>
      </c>
      <c r="AM14" s="7">
        <f t="shared" si="18"/>
        <v>49.867531694144979</v>
      </c>
      <c r="AN14" s="22">
        <f t="shared" si="31"/>
        <v>1994.7012677657992</v>
      </c>
      <c r="AP14" s="7">
        <f t="shared" si="32"/>
        <v>6</v>
      </c>
      <c r="AQ14" s="7">
        <f t="shared" si="19"/>
        <v>249.68673119258392</v>
      </c>
      <c r="AR14" s="22">
        <f t="shared" si="33"/>
        <v>1498.1203871555035</v>
      </c>
      <c r="AS14" s="7">
        <f t="shared" si="34"/>
        <v>19</v>
      </c>
      <c r="AT14" s="7">
        <f t="shared" si="20"/>
        <v>249.33765847072488</v>
      </c>
      <c r="AU14" s="22">
        <f t="shared" si="35"/>
        <v>4737.4155109437725</v>
      </c>
      <c r="AW14" s="7">
        <f t="shared" si="36"/>
        <v>212</v>
      </c>
      <c r="AY14" s="22">
        <f t="shared" si="37"/>
        <v>16920.68881918714</v>
      </c>
      <c r="BA14" s="22">
        <f t="shared" si="2"/>
        <v>7498.0499074186118</v>
      </c>
      <c r="BC14" s="51">
        <f t="shared" si="21"/>
        <v>26.690776581390683</v>
      </c>
      <c r="BE14" s="7">
        <f t="shared" si="40"/>
        <v>156.76830262480897</v>
      </c>
      <c r="BF14" s="7">
        <f t="shared" si="38"/>
        <v>176.78039985574398</v>
      </c>
      <c r="BG14" s="7">
        <f t="shared" si="38"/>
        <v>156.14770861729147</v>
      </c>
      <c r="BH14" s="7">
        <v>119.35691661532179</v>
      </c>
    </row>
    <row r="15" spans="1:60" x14ac:dyDescent="0.2">
      <c r="A15" s="8">
        <f t="shared" si="3"/>
        <v>2029</v>
      </c>
      <c r="B15" s="22">
        <f t="shared" si="41"/>
        <v>1022.9194791288002</v>
      </c>
      <c r="C15" s="22">
        <f t="shared" si="4"/>
        <v>630.00345914642844</v>
      </c>
      <c r="E15" s="15">
        <f t="shared" si="22"/>
        <v>25.722018152556032</v>
      </c>
      <c r="F15" s="15">
        <f t="shared" si="23"/>
        <v>40</v>
      </c>
      <c r="H15" s="22">
        <f t="shared" si="0"/>
        <v>26311.553410754161</v>
      </c>
      <c r="I15" s="22">
        <f t="shared" si="0"/>
        <v>25200.138365857136</v>
      </c>
      <c r="K15" s="54">
        <f t="shared" si="24"/>
        <v>28</v>
      </c>
      <c r="L15" s="7">
        <f t="shared" si="5"/>
        <v>52.748608720885031</v>
      </c>
      <c r="M15" s="7">
        <f t="shared" si="6"/>
        <v>1476.9610441847808</v>
      </c>
      <c r="O15" s="15">
        <f t="shared" si="25"/>
        <v>6</v>
      </c>
      <c r="P15" s="7">
        <f t="shared" si="7"/>
        <v>12.448769295535104</v>
      </c>
      <c r="Q15" s="7">
        <f t="shared" si="8"/>
        <v>74.692615773210633</v>
      </c>
      <c r="S15" s="15">
        <f t="shared" si="26"/>
        <v>54</v>
      </c>
      <c r="T15" s="7">
        <f t="shared" si="9"/>
        <v>21.053065720390247</v>
      </c>
      <c r="U15" s="7">
        <f t="shared" si="10"/>
        <v>1136.8655489010735</v>
      </c>
      <c r="W15" s="14">
        <f t="shared" si="27"/>
        <v>2.2999999999999998</v>
      </c>
      <c r="X15" s="7">
        <f t="shared" si="11"/>
        <v>52.56553858418598</v>
      </c>
      <c r="Y15" s="22">
        <f t="shared" si="12"/>
        <v>120.90073874362774</v>
      </c>
      <c r="AA15" s="7">
        <f t="shared" si="13"/>
        <v>32.164557942723526</v>
      </c>
      <c r="AB15" s="7">
        <f t="shared" si="1"/>
        <v>1286.582317708941</v>
      </c>
      <c r="AD15" s="7">
        <f t="shared" si="28"/>
        <v>59.4</v>
      </c>
      <c r="AE15" s="7">
        <f t="shared" si="14"/>
        <v>45.030381119812922</v>
      </c>
      <c r="AF15" s="22">
        <f t="shared" si="15"/>
        <v>2674.8046385168877</v>
      </c>
      <c r="AH15" s="15">
        <f t="shared" si="29"/>
        <v>11</v>
      </c>
      <c r="AI15" s="7">
        <f t="shared" si="16"/>
        <v>142.38078176709288</v>
      </c>
      <c r="AJ15" s="7">
        <f t="shared" si="17"/>
        <v>378.00207548785704</v>
      </c>
      <c r="AK15" s="7">
        <f t="shared" si="30"/>
        <v>1944.1906749258787</v>
      </c>
      <c r="AM15" s="7">
        <f t="shared" si="18"/>
        <v>51.463292708357621</v>
      </c>
      <c r="AN15" s="22">
        <f t="shared" si="31"/>
        <v>2058.5317083343048</v>
      </c>
      <c r="AP15" s="7">
        <f t="shared" si="32"/>
        <v>6</v>
      </c>
      <c r="AQ15" s="7">
        <f t="shared" si="19"/>
        <v>257.67670659074662</v>
      </c>
      <c r="AR15" s="22">
        <f t="shared" si="33"/>
        <v>1546.0602395444798</v>
      </c>
      <c r="AS15" s="7">
        <f t="shared" si="34"/>
        <v>19</v>
      </c>
      <c r="AT15" s="7">
        <f t="shared" si="20"/>
        <v>257.3164635417881</v>
      </c>
      <c r="AU15" s="22">
        <f t="shared" si="35"/>
        <v>4889.0128072939742</v>
      </c>
      <c r="AW15" s="7">
        <f t="shared" si="36"/>
        <v>212</v>
      </c>
      <c r="AY15" s="22">
        <f t="shared" si="37"/>
        <v>17420.60233392716</v>
      </c>
      <c r="BA15" s="22">
        <f t="shared" si="2"/>
        <v>7779.5360319299762</v>
      </c>
      <c r="BC15" s="51">
        <f t="shared" si="21"/>
        <v>26.63262625459868</v>
      </c>
      <c r="BE15" s="7">
        <f t="shared" si="40"/>
        <v>161.78488830880286</v>
      </c>
      <c r="BF15" s="7">
        <f t="shared" si="38"/>
        <v>182.43737265112779</v>
      </c>
      <c r="BG15" s="7">
        <f t="shared" si="38"/>
        <v>161.14443529304481</v>
      </c>
      <c r="BH15" s="7">
        <v>121.670750942292</v>
      </c>
    </row>
    <row r="16" spans="1:60" x14ac:dyDescent="0.2">
      <c r="A16" s="8">
        <f t="shared" si="3"/>
        <v>2030</v>
      </c>
      <c r="B16" s="22">
        <f t="shared" si="41"/>
        <v>1022.9194791288002</v>
      </c>
      <c r="C16" s="22">
        <f t="shared" si="4"/>
        <v>650.16356983911407</v>
      </c>
      <c r="E16" s="15">
        <f t="shared" si="22"/>
        <v>25.450622924796303</v>
      </c>
      <c r="F16" s="15">
        <f t="shared" si="23"/>
        <v>40</v>
      </c>
      <c r="H16" s="22">
        <f t="shared" si="0"/>
        <v>26033.937945736136</v>
      </c>
      <c r="I16" s="22">
        <f t="shared" si="0"/>
        <v>26006.542793564564</v>
      </c>
      <c r="K16" s="54">
        <f t="shared" si="24"/>
        <v>28</v>
      </c>
      <c r="L16" s="7">
        <f t="shared" si="5"/>
        <v>53.754763161777994</v>
      </c>
      <c r="M16" s="7">
        <f t="shared" si="6"/>
        <v>1505.1333685297839</v>
      </c>
      <c r="O16" s="15">
        <f t="shared" si="25"/>
        <v>6</v>
      </c>
      <c r="P16" s="7">
        <f t="shared" si="7"/>
        <v>12.686223605972593</v>
      </c>
      <c r="Q16" s="7">
        <f t="shared" si="8"/>
        <v>76.117341635835558</v>
      </c>
      <c r="S16" s="15">
        <f t="shared" si="26"/>
        <v>54</v>
      </c>
      <c r="T16" s="7">
        <f t="shared" si="9"/>
        <v>21.454642863041883</v>
      </c>
      <c r="U16" s="7">
        <f t="shared" si="10"/>
        <v>1158.5507146042617</v>
      </c>
      <c r="W16" s="14">
        <f t="shared" si="27"/>
        <v>2.2999999999999998</v>
      </c>
      <c r="X16" s="7">
        <f t="shared" si="11"/>
        <v>53.568201049925449</v>
      </c>
      <c r="Y16" s="22">
        <f t="shared" si="12"/>
        <v>123.20686241482852</v>
      </c>
      <c r="AA16" s="7">
        <f t="shared" si="13"/>
        <v>33.193823796890683</v>
      </c>
      <c r="AB16" s="7">
        <f t="shared" si="1"/>
        <v>1327.7529518756273</v>
      </c>
      <c r="AD16" s="7">
        <f t="shared" si="28"/>
        <v>59.4</v>
      </c>
      <c r="AE16" s="7">
        <f t="shared" si="14"/>
        <v>46.471353315646937</v>
      </c>
      <c r="AF16" s="22">
        <f t="shared" si="15"/>
        <v>2760.3983869494282</v>
      </c>
      <c r="AH16" s="15">
        <f t="shared" si="29"/>
        <v>11</v>
      </c>
      <c r="AI16" s="7">
        <f t="shared" si="16"/>
        <v>146.93696678363983</v>
      </c>
      <c r="AJ16" s="7">
        <f t="shared" si="17"/>
        <v>390.09814190346844</v>
      </c>
      <c r="AK16" s="7">
        <f t="shared" si="30"/>
        <v>2006.4047765235064</v>
      </c>
      <c r="AM16" s="7">
        <f t="shared" si="18"/>
        <v>53.110118075025063</v>
      </c>
      <c r="AN16" s="22">
        <f t="shared" si="31"/>
        <v>2124.4047230010024</v>
      </c>
      <c r="AP16" s="7">
        <f t="shared" si="32"/>
        <v>6</v>
      </c>
      <c r="AQ16" s="7">
        <f t="shared" si="19"/>
        <v>265.92236120165052</v>
      </c>
      <c r="AR16" s="22">
        <f t="shared" si="33"/>
        <v>1595.534167209903</v>
      </c>
      <c r="AS16" s="7">
        <f t="shared" si="34"/>
        <v>19</v>
      </c>
      <c r="AT16" s="7">
        <f t="shared" si="20"/>
        <v>265.5505903751253</v>
      </c>
      <c r="AU16" s="22">
        <f t="shared" si="35"/>
        <v>5045.4612171273802</v>
      </c>
      <c r="AW16" s="7">
        <f t="shared" si="36"/>
        <v>212</v>
      </c>
      <c r="AY16" s="22">
        <f t="shared" si="37"/>
        <v>17934.964509871555</v>
      </c>
      <c r="BA16" s="22">
        <f t="shared" si="2"/>
        <v>8071.5782836930084</v>
      </c>
      <c r="BC16" s="51">
        <f t="shared" si="21"/>
        <v>26.573769075662089</v>
      </c>
      <c r="BE16" s="7">
        <f t="shared" si="40"/>
        <v>166.96200473468454</v>
      </c>
      <c r="BF16" s="7">
        <f t="shared" si="38"/>
        <v>188.27536857596388</v>
      </c>
      <c r="BG16" s="7">
        <f t="shared" si="38"/>
        <v>166.30105722242223</v>
      </c>
      <c r="BH16" s="7">
        <v>123.9915622272899</v>
      </c>
    </row>
    <row r="17" spans="1:60" x14ac:dyDescent="0.2">
      <c r="A17" s="8">
        <f t="shared" si="3"/>
        <v>2031</v>
      </c>
      <c r="B17" s="22">
        <f t="shared" si="41"/>
        <v>1022.9194791288002</v>
      </c>
      <c r="C17" s="22">
        <f t="shared" si="4"/>
        <v>670.96880407396566</v>
      </c>
      <c r="E17" s="15">
        <f t="shared" si="22"/>
        <v>25.182091211447219</v>
      </c>
      <c r="F17" s="15">
        <f t="shared" si="23"/>
        <v>40</v>
      </c>
      <c r="H17" s="22">
        <f t="shared" si="0"/>
        <v>25759.251625387526</v>
      </c>
      <c r="I17" s="22">
        <f t="shared" si="0"/>
        <v>26838.752162958626</v>
      </c>
      <c r="K17" s="54">
        <f t="shared" si="24"/>
        <v>28</v>
      </c>
      <c r="L17" s="7">
        <f t="shared" si="5"/>
        <v>54.039653281811923</v>
      </c>
      <c r="M17" s="7">
        <f t="shared" si="6"/>
        <v>1513.1102918907338</v>
      </c>
      <c r="O17" s="15">
        <f t="shared" si="25"/>
        <v>6</v>
      </c>
      <c r="P17" s="7">
        <f t="shared" si="7"/>
        <v>12.753458201630762</v>
      </c>
      <c r="Q17" s="7">
        <f t="shared" si="8"/>
        <v>76.520749209784569</v>
      </c>
      <c r="S17" s="15">
        <f t="shared" si="26"/>
        <v>54</v>
      </c>
      <c r="T17" s="7">
        <f t="shared" si="9"/>
        <v>21.568348429228493</v>
      </c>
      <c r="U17" s="7">
        <f t="shared" si="10"/>
        <v>1164.6908151783387</v>
      </c>
      <c r="W17" s="14">
        <f t="shared" si="27"/>
        <v>2.2999999999999998</v>
      </c>
      <c r="X17" s="7">
        <f t="shared" si="11"/>
        <v>53.852102425905578</v>
      </c>
      <c r="Y17" s="22">
        <f t="shared" si="12"/>
        <v>123.85983557958282</v>
      </c>
      <c r="AA17" s="7">
        <f t="shared" si="13"/>
        <v>34.256026158391187</v>
      </c>
      <c r="AB17" s="7">
        <f t="shared" si="1"/>
        <v>1370.2410463356475</v>
      </c>
      <c r="AD17" s="7">
        <f t="shared" si="28"/>
        <v>59.4</v>
      </c>
      <c r="AE17" s="7">
        <f t="shared" si="14"/>
        <v>47.958436621747637</v>
      </c>
      <c r="AF17" s="22">
        <f t="shared" si="15"/>
        <v>2848.7311353318096</v>
      </c>
      <c r="AH17" s="15">
        <f t="shared" si="29"/>
        <v>11</v>
      </c>
      <c r="AI17" s="7">
        <f t="shared" si="16"/>
        <v>151.63894972071631</v>
      </c>
      <c r="AJ17" s="7">
        <f t="shared" si="17"/>
        <v>402.58128244437938</v>
      </c>
      <c r="AK17" s="7">
        <f t="shared" si="30"/>
        <v>2070.6097293722587</v>
      </c>
      <c r="AM17" s="7">
        <f t="shared" si="18"/>
        <v>54.809641853425866</v>
      </c>
      <c r="AN17" s="22">
        <f t="shared" si="31"/>
        <v>2192.3856741370346</v>
      </c>
      <c r="AP17" s="7">
        <f t="shared" si="32"/>
        <v>6</v>
      </c>
      <c r="AQ17" s="7">
        <f t="shared" si="19"/>
        <v>274.43187676010331</v>
      </c>
      <c r="AR17" s="22">
        <f t="shared" si="33"/>
        <v>1646.59126056062</v>
      </c>
      <c r="AS17" s="7">
        <f t="shared" si="34"/>
        <v>19</v>
      </c>
      <c r="AT17" s="7">
        <f t="shared" si="20"/>
        <v>274.04820926712932</v>
      </c>
      <c r="AU17" s="22">
        <f t="shared" si="35"/>
        <v>5206.9159760754574</v>
      </c>
      <c r="AW17" s="7">
        <f t="shared" si="36"/>
        <v>212</v>
      </c>
      <c r="AY17" s="22">
        <f t="shared" si="37"/>
        <v>18425.656513671267</v>
      </c>
      <c r="BA17" s="22">
        <f t="shared" si="2"/>
        <v>8413.0956492873593</v>
      </c>
      <c r="BC17" s="51">
        <f t="shared" si="21"/>
        <v>26.45371045085103</v>
      </c>
      <c r="BE17" s="7">
        <f t="shared" si="40"/>
        <v>172.30478888619444</v>
      </c>
      <c r="BF17" s="7">
        <f t="shared" si="38"/>
        <v>194.30018037039471</v>
      </c>
      <c r="BG17" s="7">
        <f t="shared" si="38"/>
        <v>171.62269105353974</v>
      </c>
      <c r="BH17" s="7">
        <v>124.64869415325184</v>
      </c>
    </row>
    <row r="18" spans="1:60" x14ac:dyDescent="0.2">
      <c r="A18" s="8">
        <f t="shared" si="3"/>
        <v>2032</v>
      </c>
      <c r="B18" s="22">
        <f t="shared" si="41"/>
        <v>1022.9194791288002</v>
      </c>
      <c r="C18" s="22">
        <f t="shared" si="4"/>
        <v>692.43980580433254</v>
      </c>
      <c r="E18" s="15">
        <f t="shared" si="22"/>
        <v>24.916392799321734</v>
      </c>
      <c r="F18" s="15">
        <f t="shared" si="23"/>
        <v>40</v>
      </c>
      <c r="H18" s="22">
        <f t="shared" si="0"/>
        <v>25487.463544050774</v>
      </c>
      <c r="I18" s="22">
        <f t="shared" si="0"/>
        <v>27697.592232173301</v>
      </c>
      <c r="K18" s="54">
        <f t="shared" si="24"/>
        <v>28</v>
      </c>
      <c r="L18" s="7">
        <f t="shared" si="5"/>
        <v>54.23650455738202</v>
      </c>
      <c r="M18" s="7">
        <f t="shared" si="6"/>
        <v>1518.6221276066965</v>
      </c>
      <c r="O18" s="15">
        <f t="shared" si="25"/>
        <v>6</v>
      </c>
      <c r="P18" s="7">
        <f t="shared" si="7"/>
        <v>12.799915467036014</v>
      </c>
      <c r="Q18" s="7">
        <f t="shared" si="8"/>
        <v>76.799492802216079</v>
      </c>
      <c r="S18" s="15">
        <f t="shared" si="26"/>
        <v>54</v>
      </c>
      <c r="T18" s="7">
        <f t="shared" si="9"/>
        <v>21.646915863369728</v>
      </c>
      <c r="U18" s="7">
        <f t="shared" si="10"/>
        <v>1168.9334566219652</v>
      </c>
      <c r="W18" s="14">
        <f t="shared" si="27"/>
        <v>2.2999999999999998</v>
      </c>
      <c r="X18" s="7">
        <f t="shared" si="11"/>
        <v>54.048270506396179</v>
      </c>
      <c r="Y18" s="22">
        <f t="shared" si="12"/>
        <v>124.3110221647112</v>
      </c>
      <c r="AA18" s="7">
        <f t="shared" si="13"/>
        <v>35.352218995459708</v>
      </c>
      <c r="AB18" s="7">
        <f t="shared" si="1"/>
        <v>1414.0887598183883</v>
      </c>
      <c r="AD18" s="7">
        <f t="shared" si="28"/>
        <v>59.4</v>
      </c>
      <c r="AE18" s="7">
        <f t="shared" si="14"/>
        <v>49.49310659364356</v>
      </c>
      <c r="AF18" s="22">
        <f t="shared" si="15"/>
        <v>2939.8905316624273</v>
      </c>
      <c r="AH18" s="15">
        <f t="shared" si="29"/>
        <v>11</v>
      </c>
      <c r="AI18" s="7">
        <f t="shared" si="16"/>
        <v>156.49139611177921</v>
      </c>
      <c r="AJ18" s="7">
        <f t="shared" si="17"/>
        <v>415.4638834825995</v>
      </c>
      <c r="AK18" s="7">
        <f t="shared" si="30"/>
        <v>2136.8692407121707</v>
      </c>
      <c r="AM18" s="7">
        <f t="shared" si="18"/>
        <v>56.563550392735493</v>
      </c>
      <c r="AN18" s="22">
        <f t="shared" si="31"/>
        <v>2262.5420157094195</v>
      </c>
      <c r="AP18" s="7">
        <f t="shared" si="32"/>
        <v>6</v>
      </c>
      <c r="AQ18" s="7">
        <f t="shared" si="19"/>
        <v>283.21369681642659</v>
      </c>
      <c r="AR18" s="22">
        <f t="shared" si="33"/>
        <v>1699.2821808985595</v>
      </c>
      <c r="AS18" s="7">
        <f t="shared" si="34"/>
        <v>19</v>
      </c>
      <c r="AT18" s="7">
        <f t="shared" si="20"/>
        <v>282.81775196367744</v>
      </c>
      <c r="AU18" s="22">
        <f t="shared" si="35"/>
        <v>5373.5372873098713</v>
      </c>
      <c r="AW18" s="7">
        <f t="shared" si="36"/>
        <v>212</v>
      </c>
      <c r="AY18" s="22">
        <f t="shared" si="37"/>
        <v>18926.876115306426</v>
      </c>
      <c r="BA18" s="22">
        <f t="shared" si="2"/>
        <v>8770.7161168668754</v>
      </c>
      <c r="BC18" s="51">
        <f t="shared" si="21"/>
        <v>26.329499602189742</v>
      </c>
      <c r="BE18" s="7">
        <f t="shared" si="40"/>
        <v>177.81854213055266</v>
      </c>
      <c r="BF18" s="7">
        <f t="shared" si="38"/>
        <v>200.51778614224733</v>
      </c>
      <c r="BG18" s="7">
        <f t="shared" si="38"/>
        <v>177.11461716725302</v>
      </c>
      <c r="BH18" s="7">
        <v>125.10275432855042</v>
      </c>
    </row>
    <row r="19" spans="1:60" x14ac:dyDescent="0.2">
      <c r="A19" s="8">
        <f t="shared" si="3"/>
        <v>2033</v>
      </c>
      <c r="B19" s="22">
        <f t="shared" si="41"/>
        <v>1022.9194791288002</v>
      </c>
      <c r="C19" s="22">
        <f t="shared" si="4"/>
        <v>714.5978795900711</v>
      </c>
      <c r="E19" s="15">
        <f t="shared" si="22"/>
        <v>24.65349779401474</v>
      </c>
      <c r="F19" s="15">
        <f t="shared" si="23"/>
        <v>40</v>
      </c>
      <c r="H19" s="22">
        <f t="shared" si="0"/>
        <v>25218.543122156581</v>
      </c>
      <c r="I19" s="22">
        <f t="shared" si="0"/>
        <v>28583.915183602843</v>
      </c>
      <c r="K19" s="54">
        <f t="shared" si="24"/>
        <v>28</v>
      </c>
      <c r="L19" s="7">
        <f t="shared" si="5"/>
        <v>54.080387429237177</v>
      </c>
      <c r="M19" s="7">
        <f t="shared" si="6"/>
        <v>1514.2508480186409</v>
      </c>
      <c r="O19" s="15">
        <f t="shared" si="25"/>
        <v>6</v>
      </c>
      <c r="P19" s="7">
        <f t="shared" si="7"/>
        <v>12.763071535821823</v>
      </c>
      <c r="Q19" s="7">
        <f t="shared" si="8"/>
        <v>76.578429214930935</v>
      </c>
      <c r="S19" s="15">
        <f t="shared" si="26"/>
        <v>54</v>
      </c>
      <c r="T19" s="7">
        <f t="shared" si="9"/>
        <v>21.584606273816316</v>
      </c>
      <c r="U19" s="7">
        <f t="shared" si="10"/>
        <v>1165.568738786081</v>
      </c>
      <c r="W19" s="14">
        <f t="shared" si="27"/>
        <v>2.2999999999999998</v>
      </c>
      <c r="X19" s="7">
        <f t="shared" si="11"/>
        <v>53.892695200769197</v>
      </c>
      <c r="Y19" s="22">
        <f t="shared" si="12"/>
        <v>123.95319896176915</v>
      </c>
      <c r="AA19" s="7">
        <f t="shared" si="13"/>
        <v>36.483490003314422</v>
      </c>
      <c r="AB19" s="7">
        <f t="shared" si="1"/>
        <v>1459.3396001325768</v>
      </c>
      <c r="AD19" s="7">
        <f t="shared" si="28"/>
        <v>59.4</v>
      </c>
      <c r="AE19" s="7">
        <f t="shared" si="14"/>
        <v>51.076886004640158</v>
      </c>
      <c r="AF19" s="22">
        <f t="shared" si="15"/>
        <v>3033.9670286756254</v>
      </c>
      <c r="AH19" s="15">
        <f t="shared" si="29"/>
        <v>11</v>
      </c>
      <c r="AI19" s="7">
        <f t="shared" si="16"/>
        <v>161.49912078735613</v>
      </c>
      <c r="AJ19" s="7">
        <f t="shared" si="17"/>
        <v>428.7587277540427</v>
      </c>
      <c r="AK19" s="7">
        <f t="shared" si="30"/>
        <v>2205.2490564149603</v>
      </c>
      <c r="AM19" s="7">
        <f t="shared" si="18"/>
        <v>58.37358400530303</v>
      </c>
      <c r="AN19" s="22">
        <f t="shared" si="31"/>
        <v>2334.9433602121212</v>
      </c>
      <c r="AP19" s="7">
        <f t="shared" si="32"/>
        <v>6</v>
      </c>
      <c r="AQ19" s="7">
        <f t="shared" si="19"/>
        <v>292.27653511455219</v>
      </c>
      <c r="AR19" s="22">
        <f t="shared" si="33"/>
        <v>1753.6592106873131</v>
      </c>
      <c r="AS19" s="7">
        <f t="shared" si="34"/>
        <v>19</v>
      </c>
      <c r="AT19" s="7">
        <f t="shared" si="20"/>
        <v>291.86792002651509</v>
      </c>
      <c r="AU19" s="22">
        <f t="shared" si="35"/>
        <v>5545.4904805037868</v>
      </c>
      <c r="AW19" s="7">
        <f t="shared" si="36"/>
        <v>212</v>
      </c>
      <c r="AY19" s="22">
        <f t="shared" si="37"/>
        <v>19424.999951607806</v>
      </c>
      <c r="BA19" s="22">
        <f t="shared" si="2"/>
        <v>9158.9152319950372</v>
      </c>
      <c r="BC19" s="51">
        <f t="shared" si="21"/>
        <v>26.180922605541998</v>
      </c>
      <c r="BE19" s="7">
        <f t="shared" si="40"/>
        <v>183.50873547873033</v>
      </c>
      <c r="BF19" s="7">
        <f t="shared" si="38"/>
        <v>206.93435529879923</v>
      </c>
      <c r="BG19" s="7">
        <f t="shared" si="38"/>
        <v>182.78228491660511</v>
      </c>
      <c r="BH19" s="7">
        <v>124.74265216326211</v>
      </c>
    </row>
    <row r="20" spans="1:60" x14ac:dyDescent="0.2">
      <c r="A20" s="8">
        <f t="shared" si="3"/>
        <v>2034</v>
      </c>
      <c r="B20" s="22">
        <f t="shared" si="41"/>
        <v>1022.9194791288002</v>
      </c>
      <c r="C20" s="22">
        <f t="shared" si="4"/>
        <v>737.46501173695333</v>
      </c>
      <c r="E20" s="15">
        <f t="shared" si="22"/>
        <v>24.39337661653957</v>
      </c>
      <c r="F20" s="15">
        <f t="shared" si="23"/>
        <v>40</v>
      </c>
      <c r="H20" s="22">
        <f t="shared" si="0"/>
        <v>24952.460102783309</v>
      </c>
      <c r="I20" s="22">
        <f t="shared" si="0"/>
        <v>29498.600469478133</v>
      </c>
      <c r="K20" s="54">
        <f t="shared" si="24"/>
        <v>28</v>
      </c>
      <c r="L20" s="7">
        <f t="shared" si="5"/>
        <v>54.002309381528569</v>
      </c>
      <c r="M20" s="7">
        <f t="shared" si="6"/>
        <v>1512.0646626828</v>
      </c>
      <c r="O20" s="15">
        <f t="shared" si="25"/>
        <v>6</v>
      </c>
      <c r="P20" s="7">
        <f t="shared" si="7"/>
        <v>12.744644972040522</v>
      </c>
      <c r="Q20" s="7">
        <f t="shared" si="8"/>
        <v>76.467869832243139</v>
      </c>
      <c r="S20" s="15">
        <f t="shared" si="26"/>
        <v>54</v>
      </c>
      <c r="T20" s="7">
        <f t="shared" si="9"/>
        <v>21.553443702715587</v>
      </c>
      <c r="U20" s="7">
        <f t="shared" si="10"/>
        <v>1163.8859599466416</v>
      </c>
      <c r="W20" s="14">
        <f t="shared" si="27"/>
        <v>2.2999999999999998</v>
      </c>
      <c r="X20" s="7">
        <f t="shared" si="11"/>
        <v>53.814888131939725</v>
      </c>
      <c r="Y20" s="22">
        <f t="shared" si="12"/>
        <v>123.77424270346135</v>
      </c>
      <c r="AA20" s="7">
        <f t="shared" si="13"/>
        <v>37.650961683420483</v>
      </c>
      <c r="AB20" s="7">
        <f t="shared" si="1"/>
        <v>1506.0384673368194</v>
      </c>
      <c r="AD20" s="7">
        <f t="shared" si="28"/>
        <v>59.4</v>
      </c>
      <c r="AE20" s="7">
        <f t="shared" si="14"/>
        <v>52.711346356788646</v>
      </c>
      <c r="AF20" s="22">
        <f t="shared" si="15"/>
        <v>3131.0539735932452</v>
      </c>
      <c r="AH20" s="15">
        <f t="shared" si="29"/>
        <v>11</v>
      </c>
      <c r="AI20" s="7">
        <f t="shared" si="16"/>
        <v>166.66709265255153</v>
      </c>
      <c r="AJ20" s="7">
        <f t="shared" si="17"/>
        <v>442.47900704217204</v>
      </c>
      <c r="AK20" s="7">
        <f t="shared" si="30"/>
        <v>2275.8170262202389</v>
      </c>
      <c r="AM20" s="7">
        <f t="shared" si="18"/>
        <v>60.241538693472734</v>
      </c>
      <c r="AN20" s="22">
        <f t="shared" si="31"/>
        <v>2409.6615477389096</v>
      </c>
      <c r="AP20" s="7">
        <f t="shared" si="32"/>
        <v>6</v>
      </c>
      <c r="AQ20" s="7">
        <f t="shared" si="19"/>
        <v>301.62938423821788</v>
      </c>
      <c r="AR20" s="22">
        <f t="shared" si="33"/>
        <v>1809.7763054293073</v>
      </c>
      <c r="AS20" s="7">
        <f t="shared" si="34"/>
        <v>19</v>
      </c>
      <c r="AT20" s="7">
        <f t="shared" si="20"/>
        <v>301.20769346736358</v>
      </c>
      <c r="AU20" s="22">
        <f t="shared" si="35"/>
        <v>5722.946175879908</v>
      </c>
      <c r="AW20" s="7">
        <f t="shared" si="36"/>
        <v>212</v>
      </c>
      <c r="AY20" s="22">
        <f t="shared" si="37"/>
        <v>19943.486231363575</v>
      </c>
      <c r="BA20" s="22">
        <f t="shared" si="2"/>
        <v>9555.1142381145582</v>
      </c>
      <c r="BC20" s="51">
        <f t="shared" si="21"/>
        <v>26.043272155842804</v>
      </c>
      <c r="BE20" s="7">
        <f t="shared" si="40"/>
        <v>189.38101501404969</v>
      </c>
      <c r="BF20" s="7">
        <f t="shared" si="38"/>
        <v>213.55625466836082</v>
      </c>
      <c r="BG20" s="7">
        <f t="shared" si="38"/>
        <v>188.63131803393648</v>
      </c>
      <c r="BH20" s="7">
        <v>124.56255613936351</v>
      </c>
    </row>
    <row r="21" spans="1:60" x14ac:dyDescent="0.2">
      <c r="A21" s="8">
        <f t="shared" si="3"/>
        <v>2035</v>
      </c>
      <c r="B21" s="22">
        <f>+B20</f>
        <v>1022.9194791288002</v>
      </c>
      <c r="C21" s="22">
        <f t="shared" si="4"/>
        <v>761.06389211253588</v>
      </c>
      <c r="E21" s="15">
        <f>E7*0.862</f>
        <v>24.135999999999999</v>
      </c>
      <c r="F21" s="15">
        <f t="shared" si="23"/>
        <v>40</v>
      </c>
      <c r="H21" s="22">
        <f t="shared" si="0"/>
        <v>24689.184548252721</v>
      </c>
      <c r="I21" s="22">
        <f t="shared" si="0"/>
        <v>30442.555684501436</v>
      </c>
      <c r="K21" s="54">
        <f t="shared" si="24"/>
        <v>28</v>
      </c>
      <c r="L21" s="7">
        <f t="shared" si="5"/>
        <v>53.842718410314532</v>
      </c>
      <c r="M21" s="7">
        <f t="shared" si="6"/>
        <v>1507.5961154888068</v>
      </c>
      <c r="O21" s="15">
        <f t="shared" si="25"/>
        <v>6</v>
      </c>
      <c r="P21" s="7">
        <f t="shared" si="7"/>
        <v>12.706981207431934</v>
      </c>
      <c r="Q21" s="7">
        <f t="shared" si="8"/>
        <v>76.241887244591595</v>
      </c>
      <c r="S21" s="15">
        <f t="shared" si="26"/>
        <v>54</v>
      </c>
      <c r="T21" s="7">
        <f t="shared" si="9"/>
        <v>21.489747630215771</v>
      </c>
      <c r="U21" s="7">
        <f t="shared" si="10"/>
        <v>1160.4463720316517</v>
      </c>
      <c r="W21" s="14">
        <f t="shared" si="27"/>
        <v>2.2999999999999998</v>
      </c>
      <c r="X21" s="7">
        <f t="shared" si="11"/>
        <v>53.655851039616991</v>
      </c>
      <c r="Y21" s="22">
        <f t="shared" si="12"/>
        <v>123.40845739111907</v>
      </c>
      <c r="AA21" s="7">
        <f t="shared" si="13"/>
        <v>38.855792457289937</v>
      </c>
      <c r="AB21" s="7">
        <f t="shared" si="1"/>
        <v>1554.2316982915975</v>
      </c>
      <c r="AD21" s="7">
        <f t="shared" si="28"/>
        <v>59.4</v>
      </c>
      <c r="AE21" s="7">
        <f t="shared" si="14"/>
        <v>54.398109440205886</v>
      </c>
      <c r="AF21" s="22">
        <f t="shared" si="15"/>
        <v>3231.2477007482294</v>
      </c>
      <c r="AH21" s="15">
        <f t="shared" si="29"/>
        <v>11</v>
      </c>
      <c r="AI21" s="7">
        <f t="shared" si="16"/>
        <v>172.00043961743316</v>
      </c>
      <c r="AJ21" s="7">
        <f t="shared" si="17"/>
        <v>456.6383352675216</v>
      </c>
      <c r="AK21" s="7">
        <f t="shared" si="30"/>
        <v>2348.643171059286</v>
      </c>
      <c r="AM21" s="7">
        <f t="shared" si="18"/>
        <v>62.169267931663853</v>
      </c>
      <c r="AN21" s="22">
        <f t="shared" si="31"/>
        <v>2486.7707172665541</v>
      </c>
      <c r="AP21" s="7">
        <f t="shared" si="32"/>
        <v>6</v>
      </c>
      <c r="AQ21" s="7">
        <f t="shared" si="19"/>
        <v>311.28152453384087</v>
      </c>
      <c r="AR21" s="22">
        <f t="shared" si="33"/>
        <v>1867.6891472030452</v>
      </c>
      <c r="AS21" s="7">
        <f t="shared" si="34"/>
        <v>19</v>
      </c>
      <c r="AT21" s="7">
        <f t="shared" si="20"/>
        <v>310.84633965831921</v>
      </c>
      <c r="AU21" s="22">
        <f t="shared" si="35"/>
        <v>5906.0804535080651</v>
      </c>
      <c r="AW21" s="7">
        <f t="shared" si="36"/>
        <v>212</v>
      </c>
      <c r="AY21" s="22">
        <f t="shared" si="37"/>
        <v>20474.355720232947</v>
      </c>
      <c r="BA21" s="22">
        <f t="shared" si="2"/>
        <v>9968.1999642684896</v>
      </c>
      <c r="BC21" s="51">
        <f t="shared" si="21"/>
        <v>25.904062874498194</v>
      </c>
      <c r="BE21" s="7">
        <f t="shared" si="40"/>
        <v>195.44120749449928</v>
      </c>
      <c r="BF21" s="7">
        <f t="shared" si="38"/>
        <v>220.39005481774836</v>
      </c>
      <c r="BG21" s="7">
        <f t="shared" si="38"/>
        <v>194.66752021102243</v>
      </c>
      <c r="BH21" s="7">
        <v>124.19444115430356</v>
      </c>
    </row>
    <row r="22" spans="1:60" x14ac:dyDescent="0.2">
      <c r="A22" s="8">
        <f t="shared" si="3"/>
        <v>2036</v>
      </c>
      <c r="B22" s="22">
        <f t="shared" si="41"/>
        <v>1022.9194791288002</v>
      </c>
      <c r="C22" s="22">
        <f t="shared" si="4"/>
        <v>785.41793666013712</v>
      </c>
      <c r="E22" s="15">
        <f>E21*((E$41/E$21)^(1/($A$41-$A$21)))</f>
        <v>24.049090257778293</v>
      </c>
      <c r="F22" s="15">
        <f t="shared" si="23"/>
        <v>40</v>
      </c>
      <c r="H22" s="22">
        <f t="shared" si="0"/>
        <v>24600.282880008075</v>
      </c>
      <c r="I22" s="22">
        <f t="shared" si="0"/>
        <v>31416.717466405484</v>
      </c>
      <c r="K22" s="54">
        <f t="shared" si="24"/>
        <v>28</v>
      </c>
      <c r="L22" s="7">
        <f t="shared" si="5"/>
        <v>52.859924547037494</v>
      </c>
      <c r="M22" s="7">
        <f t="shared" si="6"/>
        <v>1480.0778873170498</v>
      </c>
      <c r="O22" s="15">
        <f t="shared" si="25"/>
        <v>6</v>
      </c>
      <c r="P22" s="7">
        <f t="shared" si="7"/>
        <v>12.475040036552114</v>
      </c>
      <c r="Q22" s="7">
        <f t="shared" si="8"/>
        <v>74.850240219312681</v>
      </c>
      <c r="S22" s="15">
        <f t="shared" si="26"/>
        <v>54</v>
      </c>
      <c r="T22" s="7">
        <f t="shared" si="9"/>
        <v>21.097494179463137</v>
      </c>
      <c r="U22" s="7">
        <f t="shared" si="10"/>
        <v>1139.2646856910094</v>
      </c>
      <c r="W22" s="14">
        <f t="shared" si="27"/>
        <v>2.2999999999999998</v>
      </c>
      <c r="X22" s="7">
        <f t="shared" si="11"/>
        <v>52.676468075911714</v>
      </c>
      <c r="Y22" s="22">
        <f t="shared" si="12"/>
        <v>121.15587657459693</v>
      </c>
      <c r="AA22" s="7">
        <f t="shared" si="13"/>
        <v>40.099177815923213</v>
      </c>
      <c r="AB22" s="7">
        <f t="shared" si="1"/>
        <v>1603.9671126369285</v>
      </c>
      <c r="AD22" s="7">
        <f t="shared" si="28"/>
        <v>59.4</v>
      </c>
      <c r="AE22" s="7">
        <f t="shared" si="14"/>
        <v>56.138848942292476</v>
      </c>
      <c r="AF22" s="22">
        <f t="shared" si="15"/>
        <v>3334.6476271721731</v>
      </c>
      <c r="AH22" s="15">
        <f t="shared" si="29"/>
        <v>11</v>
      </c>
      <c r="AI22" s="7">
        <f t="shared" si="16"/>
        <v>177.50445368519101</v>
      </c>
      <c r="AJ22" s="7">
        <f t="shared" si="17"/>
        <v>471.2507619960823</v>
      </c>
      <c r="AK22" s="7">
        <f t="shared" si="30"/>
        <v>2423.7997525331834</v>
      </c>
      <c r="AM22" s="7">
        <f t="shared" si="18"/>
        <v>64.158684505477098</v>
      </c>
      <c r="AN22" s="22">
        <f t="shared" si="31"/>
        <v>2566.3473802190838</v>
      </c>
      <c r="AP22" s="7">
        <f t="shared" si="32"/>
        <v>6</v>
      </c>
      <c r="AQ22" s="7">
        <f t="shared" si="19"/>
        <v>321.24253331892379</v>
      </c>
      <c r="AR22" s="22">
        <f t="shared" si="33"/>
        <v>1927.4551999135429</v>
      </c>
      <c r="AS22" s="7">
        <f t="shared" si="34"/>
        <v>19</v>
      </c>
      <c r="AT22" s="7">
        <f t="shared" si="20"/>
        <v>320.79342252738542</v>
      </c>
      <c r="AU22" s="22">
        <f t="shared" si="35"/>
        <v>6095.0750280203229</v>
      </c>
      <c r="AW22" s="7">
        <f t="shared" si="36"/>
        <v>212</v>
      </c>
      <c r="AY22" s="22">
        <f t="shared" si="37"/>
        <v>20978.640790297206</v>
      </c>
      <c r="BA22" s="22">
        <f t="shared" si="2"/>
        <v>10438.076676108278</v>
      </c>
      <c r="BC22" s="51">
        <f t="shared" si="21"/>
        <v>25.710708942005375</v>
      </c>
      <c r="BE22" s="7">
        <f t="shared" si="40"/>
        <v>201.69532613432327</v>
      </c>
      <c r="BF22" s="7">
        <f t="shared" si="38"/>
        <v>227.44253657191632</v>
      </c>
      <c r="BG22" s="7">
        <f t="shared" si="38"/>
        <v>200.89688085777516</v>
      </c>
      <c r="BH22" s="7">
        <v>121.92751373638573</v>
      </c>
    </row>
    <row r="23" spans="1:60" x14ac:dyDescent="0.2">
      <c r="A23" s="8">
        <f t="shared" si="3"/>
        <v>2037</v>
      </c>
      <c r="B23" s="22">
        <f t="shared" si="41"/>
        <v>1022.9194791288002</v>
      </c>
      <c r="C23" s="22">
        <f t="shared" si="4"/>
        <v>810.55131063326144</v>
      </c>
      <c r="E23" s="15">
        <f t="shared" ref="E23:E38" si="42">E22*((E$41/E$21)^(1/($A$41-$A$21)))</f>
        <v>23.962493463157394</v>
      </c>
      <c r="F23" s="15">
        <f t="shared" si="23"/>
        <v>40</v>
      </c>
      <c r="H23" s="22">
        <f t="shared" si="0"/>
        <v>24511.701331960241</v>
      </c>
      <c r="I23" s="22">
        <f t="shared" si="0"/>
        <v>32422.052425330457</v>
      </c>
      <c r="K23" s="54">
        <f t="shared" si="24"/>
        <v>28</v>
      </c>
      <c r="L23" s="7">
        <f t="shared" si="5"/>
        <v>51.996465822135022</v>
      </c>
      <c r="M23" s="7">
        <f t="shared" si="6"/>
        <v>1455.9010430197807</v>
      </c>
      <c r="O23" s="15">
        <f t="shared" si="25"/>
        <v>6</v>
      </c>
      <c r="P23" s="7">
        <f t="shared" si="7"/>
        <v>12.271262179217425</v>
      </c>
      <c r="Q23" s="7">
        <f t="shared" si="8"/>
        <v>73.627573075304554</v>
      </c>
      <c r="S23" s="15">
        <f t="shared" si="26"/>
        <v>54</v>
      </c>
      <c r="T23" s="7">
        <f t="shared" si="9"/>
        <v>20.752869861911822</v>
      </c>
      <c r="U23" s="7">
        <f t="shared" si="10"/>
        <v>1120.6549725432385</v>
      </c>
      <c r="W23" s="14">
        <f t="shared" si="27"/>
        <v>2.2999999999999998</v>
      </c>
      <c r="X23" s="7">
        <f t="shared" si="11"/>
        <v>51.816006084205334</v>
      </c>
      <c r="Y23" s="22">
        <f t="shared" si="12"/>
        <v>119.17681399367225</v>
      </c>
      <c r="AA23" s="7">
        <f t="shared" si="13"/>
        <v>41.382351506032755</v>
      </c>
      <c r="AB23" s="7">
        <f t="shared" si="1"/>
        <v>1655.2940602413103</v>
      </c>
      <c r="AD23" s="7">
        <f t="shared" si="28"/>
        <v>59.4</v>
      </c>
      <c r="AE23" s="7">
        <f t="shared" si="14"/>
        <v>57.935292108445836</v>
      </c>
      <c r="AF23" s="22">
        <f t="shared" si="15"/>
        <v>3441.3563512416827</v>
      </c>
      <c r="AH23" s="15">
        <f t="shared" si="29"/>
        <v>11</v>
      </c>
      <c r="AI23" s="7">
        <f t="shared" si="16"/>
        <v>183.18459620311711</v>
      </c>
      <c r="AJ23" s="7">
        <f t="shared" si="17"/>
        <v>486.33078637995692</v>
      </c>
      <c r="AK23" s="7">
        <f t="shared" si="30"/>
        <v>2501.3613446142454</v>
      </c>
      <c r="AM23" s="7">
        <f t="shared" si="18"/>
        <v>66.211762409652366</v>
      </c>
      <c r="AN23" s="22">
        <f t="shared" si="31"/>
        <v>2648.4704963860945</v>
      </c>
      <c r="AP23" s="7">
        <f t="shared" si="32"/>
        <v>6</v>
      </c>
      <c r="AQ23" s="7">
        <f t="shared" si="19"/>
        <v>331.52229438512933</v>
      </c>
      <c r="AR23" s="22">
        <f t="shared" si="33"/>
        <v>1989.1337663107761</v>
      </c>
      <c r="AS23" s="7">
        <f t="shared" si="34"/>
        <v>19</v>
      </c>
      <c r="AT23" s="7">
        <f t="shared" si="20"/>
        <v>331.05881204826176</v>
      </c>
      <c r="AU23" s="22">
        <f t="shared" si="35"/>
        <v>6290.117428916973</v>
      </c>
      <c r="AW23" s="7">
        <f t="shared" si="36"/>
        <v>212</v>
      </c>
      <c r="AY23" s="22">
        <f t="shared" si="37"/>
        <v>21507.093850343077</v>
      </c>
      <c r="BA23" s="22">
        <f t="shared" si="2"/>
        <v>10914.95857498738</v>
      </c>
      <c r="BC23" s="51">
        <f t="shared" si="21"/>
        <v>25.533791447313376</v>
      </c>
      <c r="BE23" s="7">
        <f t="shared" si="40"/>
        <v>208.1495765706216</v>
      </c>
      <c r="BF23" s="7">
        <f t="shared" si="38"/>
        <v>234.72069774221765</v>
      </c>
      <c r="BG23" s="7">
        <f t="shared" si="38"/>
        <v>207.32558104522397</v>
      </c>
      <c r="BH23" s="7">
        <v>119.93584658128668</v>
      </c>
    </row>
    <row r="24" spans="1:60" x14ac:dyDescent="0.2">
      <c r="A24" s="8">
        <f t="shared" si="3"/>
        <v>2038</v>
      </c>
      <c r="B24" s="22">
        <f t="shared" si="41"/>
        <v>1022.9194791288002</v>
      </c>
      <c r="C24" s="22">
        <f t="shared" si="4"/>
        <v>836.48895257352581</v>
      </c>
      <c r="E24" s="15">
        <f t="shared" si="42"/>
        <v>23.876208489264773</v>
      </c>
      <c r="F24" s="15">
        <f t="shared" si="23"/>
        <v>40</v>
      </c>
      <c r="H24" s="22">
        <f t="shared" si="0"/>
        <v>24423.438751409358</v>
      </c>
      <c r="I24" s="22">
        <f t="shared" si="0"/>
        <v>33459.558102941031</v>
      </c>
      <c r="K24" s="54">
        <f t="shared" si="24"/>
        <v>28</v>
      </c>
      <c r="L24" s="7">
        <f t="shared" si="5"/>
        <v>51.408346303235383</v>
      </c>
      <c r="M24" s="7">
        <f t="shared" si="6"/>
        <v>1439.4336964905908</v>
      </c>
      <c r="O24" s="15">
        <f t="shared" si="25"/>
        <v>6</v>
      </c>
      <c r="P24" s="7">
        <f t="shared" si="7"/>
        <v>12.132464884150876</v>
      </c>
      <c r="Q24" s="7">
        <f t="shared" si="8"/>
        <v>72.794789304905251</v>
      </c>
      <c r="S24" s="15">
        <f t="shared" si="26"/>
        <v>54</v>
      </c>
      <c r="T24" s="7">
        <f t="shared" si="9"/>
        <v>20.518139142313981</v>
      </c>
      <c r="U24" s="7">
        <f t="shared" si="10"/>
        <v>1107.979513684955</v>
      </c>
      <c r="W24" s="14">
        <f t="shared" si="27"/>
        <v>2.2999999999999998</v>
      </c>
      <c r="X24" s="7">
        <f t="shared" si="11"/>
        <v>51.229927701997859</v>
      </c>
      <c r="Y24" s="22">
        <f t="shared" si="12"/>
        <v>117.82883371459506</v>
      </c>
      <c r="AA24" s="7">
        <f t="shared" si="13"/>
        <v>42.706586754225803</v>
      </c>
      <c r="AB24" s="7">
        <f t="shared" si="1"/>
        <v>1708.2634701690322</v>
      </c>
      <c r="AD24" s="7">
        <f t="shared" si="28"/>
        <v>59.4</v>
      </c>
      <c r="AE24" s="7">
        <f t="shared" si="14"/>
        <v>59.789221455916106</v>
      </c>
      <c r="AF24" s="22">
        <f t="shared" si="15"/>
        <v>3551.4797544814164</v>
      </c>
      <c r="AH24" s="15">
        <f t="shared" si="29"/>
        <v>11</v>
      </c>
      <c r="AI24" s="7">
        <f t="shared" si="16"/>
        <v>189.04650328161685</v>
      </c>
      <c r="AJ24" s="7">
        <f t="shared" si="17"/>
        <v>501.8933715441155</v>
      </c>
      <c r="AK24" s="7">
        <f t="shared" si="30"/>
        <v>2581.4049076419005</v>
      </c>
      <c r="AM24" s="7">
        <f t="shared" si="18"/>
        <v>68.330538806761254</v>
      </c>
      <c r="AN24" s="22">
        <f t="shared" si="31"/>
        <v>2733.22155227045</v>
      </c>
      <c r="AP24" s="7">
        <f t="shared" si="32"/>
        <v>6</v>
      </c>
      <c r="AQ24" s="7">
        <f t="shared" si="19"/>
        <v>342.13100780545346</v>
      </c>
      <c r="AR24" s="22">
        <f t="shared" si="33"/>
        <v>2052.7860468327208</v>
      </c>
      <c r="AS24" s="7">
        <f t="shared" si="34"/>
        <v>19</v>
      </c>
      <c r="AT24" s="7">
        <f t="shared" si="20"/>
        <v>341.65269403380614</v>
      </c>
      <c r="AU24" s="22">
        <f t="shared" si="35"/>
        <v>6491.401186642317</v>
      </c>
      <c r="AW24" s="7">
        <f t="shared" si="36"/>
        <v>212</v>
      </c>
      <c r="AY24" s="22">
        <f t="shared" si="37"/>
        <v>22068.593751232882</v>
      </c>
      <c r="BA24" s="22">
        <f t="shared" si="2"/>
        <v>11390.964351708149</v>
      </c>
      <c r="BC24" s="51">
        <f t="shared" si="21"/>
        <v>25.382688188427835</v>
      </c>
      <c r="BE24" s="7">
        <f t="shared" si="40"/>
        <v>214.81036302088148</v>
      </c>
      <c r="BF24" s="7">
        <f t="shared" si="38"/>
        <v>242.23176006996863</v>
      </c>
      <c r="BG24" s="7">
        <f t="shared" si="38"/>
        <v>213.95999963867115</v>
      </c>
      <c r="BH24" s="7">
        <v>118.57928106717092</v>
      </c>
    </row>
    <row r="25" spans="1:60" x14ac:dyDescent="0.2">
      <c r="A25" s="8">
        <f t="shared" si="3"/>
        <v>2039</v>
      </c>
      <c r="B25" s="22">
        <f t="shared" si="41"/>
        <v>1022.9194791288002</v>
      </c>
      <c r="C25" s="22">
        <f t="shared" si="4"/>
        <v>863.25659905587861</v>
      </c>
      <c r="E25" s="15">
        <f t="shared" si="42"/>
        <v>23.790234213285583</v>
      </c>
      <c r="F25" s="15">
        <f t="shared" si="23"/>
        <v>40</v>
      </c>
      <c r="H25" s="22">
        <f t="shared" si="0"/>
        <v>24335.493989806248</v>
      </c>
      <c r="I25" s="22">
        <f t="shared" si="0"/>
        <v>34530.263962235142</v>
      </c>
      <c r="K25" s="54">
        <f t="shared" si="24"/>
        <v>28</v>
      </c>
      <c r="L25" s="7">
        <f t="shared" si="5"/>
        <v>50.998779751125824</v>
      </c>
      <c r="M25" s="7">
        <f t="shared" si="6"/>
        <v>1427.9658330315231</v>
      </c>
      <c r="O25" s="15">
        <f t="shared" si="25"/>
        <v>6</v>
      </c>
      <c r="P25" s="7">
        <f t="shared" si="7"/>
        <v>12.035806419747416</v>
      </c>
      <c r="Q25" s="7">
        <f t="shared" si="8"/>
        <v>72.214838518484498</v>
      </c>
      <c r="S25" s="15">
        <f t="shared" si="26"/>
        <v>54</v>
      </c>
      <c r="T25" s="7">
        <f t="shared" si="9"/>
        <v>20.354672621631661</v>
      </c>
      <c r="U25" s="7">
        <f t="shared" si="10"/>
        <v>1099.1523215681098</v>
      </c>
      <c r="W25" s="14">
        <f t="shared" si="27"/>
        <v>2.2999999999999998</v>
      </c>
      <c r="X25" s="7">
        <f t="shared" si="11"/>
        <v>50.821782597894234</v>
      </c>
      <c r="Y25" s="22">
        <f t="shared" si="12"/>
        <v>116.89009997515673</v>
      </c>
      <c r="AA25" s="7">
        <f t="shared" si="13"/>
        <v>44.073197530361028</v>
      </c>
      <c r="AB25" s="7">
        <f t="shared" si="1"/>
        <v>1762.9279012144411</v>
      </c>
      <c r="AD25" s="7">
        <f t="shared" si="28"/>
        <v>59.4</v>
      </c>
      <c r="AE25" s="7">
        <f t="shared" si="14"/>
        <v>61.702476542505423</v>
      </c>
      <c r="AF25" s="22">
        <f t="shared" si="15"/>
        <v>3665.1271066248219</v>
      </c>
      <c r="AH25" s="15">
        <f t="shared" si="29"/>
        <v>11</v>
      </c>
      <c r="AI25" s="7">
        <f t="shared" si="16"/>
        <v>195.09599138662858</v>
      </c>
      <c r="AJ25" s="7">
        <f t="shared" si="17"/>
        <v>517.95395943352719</v>
      </c>
      <c r="AK25" s="7">
        <f t="shared" si="30"/>
        <v>2664.0098646864417</v>
      </c>
      <c r="AM25" s="7">
        <f t="shared" si="18"/>
        <v>70.51711604857762</v>
      </c>
      <c r="AN25" s="22">
        <f t="shared" si="31"/>
        <v>2820.6846419431049</v>
      </c>
      <c r="AP25" s="7">
        <f t="shared" si="32"/>
        <v>6</v>
      </c>
      <c r="AQ25" s="7">
        <f t="shared" si="19"/>
        <v>353.079200055228</v>
      </c>
      <c r="AR25" s="22">
        <f t="shared" si="33"/>
        <v>2118.4752003313679</v>
      </c>
      <c r="AS25" s="7">
        <f t="shared" si="34"/>
        <v>19</v>
      </c>
      <c r="AT25" s="7">
        <f t="shared" si="20"/>
        <v>352.585580242888</v>
      </c>
      <c r="AU25" s="22">
        <f t="shared" si="35"/>
        <v>6699.1260246148722</v>
      </c>
      <c r="AW25" s="7">
        <f t="shared" si="36"/>
        <v>212</v>
      </c>
      <c r="AY25" s="22">
        <f t="shared" si="37"/>
        <v>22658.573832508322</v>
      </c>
      <c r="BA25" s="22">
        <f t="shared" si="2"/>
        <v>11871.69012972682</v>
      </c>
      <c r="BC25" s="51">
        <f t="shared" si="21"/>
        <v>25.249102817239621</v>
      </c>
      <c r="BE25" s="7">
        <f t="shared" si="40"/>
        <v>221.6842946375497</v>
      </c>
      <c r="BF25" s="7">
        <f t="shared" si="40"/>
        <v>249.98317639220764</v>
      </c>
      <c r="BG25" s="7">
        <f t="shared" si="40"/>
        <v>220.80671962710863</v>
      </c>
      <c r="BH25" s="7">
        <v>117.63456856831245</v>
      </c>
    </row>
    <row r="26" spans="1:60" x14ac:dyDescent="0.2">
      <c r="A26" s="8">
        <f t="shared" si="3"/>
        <v>2040</v>
      </c>
      <c r="B26" s="22">
        <f t="shared" si="41"/>
        <v>1022.9194791288002</v>
      </c>
      <c r="C26" s="22">
        <f t="shared" si="4"/>
        <v>890.88081022566678</v>
      </c>
      <c r="E26" s="15">
        <f t="shared" si="42"/>
        <v>23.704569516448053</v>
      </c>
      <c r="F26" s="15">
        <f t="shared" si="23"/>
        <v>40</v>
      </c>
      <c r="H26" s="22">
        <f t="shared" si="0"/>
        <v>24247.865902737478</v>
      </c>
      <c r="I26" s="22">
        <f t="shared" si="0"/>
        <v>35635.23240902667</v>
      </c>
      <c r="K26" s="54">
        <f t="shared" si="24"/>
        <v>28</v>
      </c>
      <c r="L26" s="7">
        <f t="shared" si="5"/>
        <v>50.851913770030542</v>
      </c>
      <c r="M26" s="7">
        <f t="shared" si="6"/>
        <v>1423.8535855608552</v>
      </c>
      <c r="O26" s="15">
        <f t="shared" si="25"/>
        <v>6</v>
      </c>
      <c r="P26" s="7">
        <f t="shared" si="7"/>
        <v>12.001145776360746</v>
      </c>
      <c r="Q26" s="7">
        <f t="shared" si="8"/>
        <v>72.006874658164477</v>
      </c>
      <c r="S26" s="15">
        <f t="shared" si="26"/>
        <v>54</v>
      </c>
      <c r="T26" s="7">
        <f t="shared" si="9"/>
        <v>20.296055357080672</v>
      </c>
      <c r="U26" s="7">
        <f t="shared" si="10"/>
        <v>1095.9869892823563</v>
      </c>
      <c r="W26" s="14">
        <f t="shared" si="27"/>
        <v>2.2999999999999998</v>
      </c>
      <c r="X26" s="7">
        <f t="shared" si="11"/>
        <v>50.675426332142877</v>
      </c>
      <c r="Y26" s="22">
        <f t="shared" si="12"/>
        <v>116.5534805639286</v>
      </c>
      <c r="AA26" s="7">
        <f t="shared" si="13"/>
        <v>45.48353985133258</v>
      </c>
      <c r="AB26" s="7">
        <f t="shared" si="1"/>
        <v>1819.3415940533032</v>
      </c>
      <c r="AD26" s="7">
        <f t="shared" si="28"/>
        <v>59.4</v>
      </c>
      <c r="AE26" s="7">
        <f t="shared" si="14"/>
        <v>63.676955791865595</v>
      </c>
      <c r="AF26" s="22">
        <f t="shared" si="15"/>
        <v>3782.4111740368162</v>
      </c>
      <c r="AH26" s="15">
        <f t="shared" si="29"/>
        <v>11</v>
      </c>
      <c r="AI26" s="7">
        <f t="shared" si="16"/>
        <v>201.33906311100068</v>
      </c>
      <c r="AJ26" s="7">
        <f t="shared" si="17"/>
        <v>534.52848613540004</v>
      </c>
      <c r="AK26" s="7">
        <f t="shared" si="30"/>
        <v>2749.2581803564071</v>
      </c>
      <c r="AM26" s="7">
        <f t="shared" si="18"/>
        <v>72.773663762132102</v>
      </c>
      <c r="AN26" s="22">
        <f t="shared" si="31"/>
        <v>2910.9465504852842</v>
      </c>
      <c r="AP26" s="7">
        <f t="shared" si="32"/>
        <v>6</v>
      </c>
      <c r="AQ26" s="7">
        <f t="shared" si="19"/>
        <v>364.37773445699526</v>
      </c>
      <c r="AR26" s="22">
        <f t="shared" si="33"/>
        <v>2186.2664067419714</v>
      </c>
      <c r="AS26" s="7">
        <f t="shared" si="34"/>
        <v>19</v>
      </c>
      <c r="AT26" s="7">
        <f t="shared" si="20"/>
        <v>363.86831881066041</v>
      </c>
      <c r="AU26" s="22">
        <f t="shared" si="35"/>
        <v>6913.4980574025476</v>
      </c>
      <c r="AW26" s="7">
        <f t="shared" si="36"/>
        <v>212</v>
      </c>
      <c r="AY26" s="22">
        <f t="shared" si="37"/>
        <v>23282.122893141634</v>
      </c>
      <c r="BA26" s="22">
        <f t="shared" si="2"/>
        <v>12353.109515885037</v>
      </c>
      <c r="BC26" s="51">
        <f t="shared" si="21"/>
        <v>25.137035620754585</v>
      </c>
      <c r="BE26" s="7">
        <f t="shared" si="40"/>
        <v>228.77819206595129</v>
      </c>
      <c r="BF26" s="7">
        <f t="shared" si="40"/>
        <v>257.98263803675826</v>
      </c>
      <c r="BG26" s="7">
        <f t="shared" si="40"/>
        <v>227.87253465517611</v>
      </c>
      <c r="BH26" s="7">
        <v>117.29580524087962</v>
      </c>
    </row>
    <row r="27" spans="1:60" x14ac:dyDescent="0.2">
      <c r="A27" s="8">
        <f t="shared" si="3"/>
        <v>2041</v>
      </c>
      <c r="B27" s="22">
        <f t="shared" si="41"/>
        <v>1022.9194791288002</v>
      </c>
      <c r="C27" s="22">
        <f t="shared" si="4"/>
        <v>919.38899615288824</v>
      </c>
      <c r="E27" s="15">
        <f t="shared" si="42"/>
        <v>23.619213284008918</v>
      </c>
      <c r="F27" s="15">
        <f t="shared" si="23"/>
        <v>40</v>
      </c>
      <c r="H27" s="22">
        <f t="shared" si="0"/>
        <v>24160.553349910439</v>
      </c>
      <c r="I27" s="22">
        <f t="shared" si="0"/>
        <v>36775.559846115531</v>
      </c>
      <c r="K27" s="54">
        <f t="shared" si="24"/>
        <v>28</v>
      </c>
      <c r="L27" s="7">
        <f t="shared" si="5"/>
        <v>50.887943635535592</v>
      </c>
      <c r="M27" s="7">
        <f t="shared" si="6"/>
        <v>1424.8624217949966</v>
      </c>
      <c r="O27" s="15">
        <f t="shared" si="25"/>
        <v>6</v>
      </c>
      <c r="P27" s="7">
        <f t="shared" si="7"/>
        <v>12.009648891311034</v>
      </c>
      <c r="Q27" s="7">
        <f t="shared" si="8"/>
        <v>72.057893347866212</v>
      </c>
      <c r="S27" s="15">
        <f t="shared" si="26"/>
        <v>54</v>
      </c>
      <c r="T27" s="7">
        <f t="shared" si="9"/>
        <v>20.310435625011309</v>
      </c>
      <c r="U27" s="7">
        <f t="shared" si="10"/>
        <v>1096.7635237506106</v>
      </c>
      <c r="W27" s="14">
        <f t="shared" si="27"/>
        <v>2.2999999999999998</v>
      </c>
      <c r="X27" s="7">
        <f t="shared" si="11"/>
        <v>50.711331151839836</v>
      </c>
      <c r="Y27" s="22">
        <f t="shared" si="12"/>
        <v>116.63606164923162</v>
      </c>
      <c r="AA27" s="7">
        <f t="shared" si="13"/>
        <v>46.939013126575226</v>
      </c>
      <c r="AB27" s="7">
        <f t="shared" si="1"/>
        <v>1877.560525063009</v>
      </c>
      <c r="AD27" s="7">
        <f t="shared" si="28"/>
        <v>59.4</v>
      </c>
      <c r="AE27" s="7">
        <f t="shared" si="14"/>
        <v>65.714618377205298</v>
      </c>
      <c r="AF27" s="22">
        <f t="shared" si="15"/>
        <v>3903.4483316059946</v>
      </c>
      <c r="AH27" s="15">
        <f t="shared" si="29"/>
        <v>11</v>
      </c>
      <c r="AI27" s="7">
        <f t="shared" si="16"/>
        <v>207.78191313055271</v>
      </c>
      <c r="AJ27" s="7">
        <f t="shared" si="17"/>
        <v>551.63339769173285</v>
      </c>
      <c r="AK27" s="7">
        <f t="shared" si="30"/>
        <v>2837.2344421278131</v>
      </c>
      <c r="AM27" s="7">
        <f t="shared" si="18"/>
        <v>75.10242100252033</v>
      </c>
      <c r="AN27" s="22">
        <f t="shared" si="31"/>
        <v>3004.0968401008131</v>
      </c>
      <c r="AP27" s="7">
        <f t="shared" si="32"/>
        <v>6</v>
      </c>
      <c r="AQ27" s="7">
        <f t="shared" si="19"/>
        <v>376.03782195961912</v>
      </c>
      <c r="AR27" s="22">
        <f t="shared" si="33"/>
        <v>2256.2269317577147</v>
      </c>
      <c r="AS27" s="7">
        <f t="shared" si="34"/>
        <v>19</v>
      </c>
      <c r="AT27" s="7">
        <f t="shared" si="20"/>
        <v>375.51210501260152</v>
      </c>
      <c r="AU27" s="22">
        <f t="shared" si="35"/>
        <v>7134.7299952394287</v>
      </c>
      <c r="AW27" s="7">
        <f t="shared" si="36"/>
        <v>212</v>
      </c>
      <c r="AY27" s="22">
        <f t="shared" si="37"/>
        <v>23935.616966437479</v>
      </c>
      <c r="BA27" s="22">
        <f t="shared" si="2"/>
        <v>12839.942879678052</v>
      </c>
      <c r="BC27" s="51">
        <f t="shared" si="21"/>
        <v>25.039895542889354</v>
      </c>
      <c r="BE27" s="7">
        <f t="shared" ref="BE27:BG41" si="43">+BE26+(BE26*0.032)</f>
        <v>236.09909421206174</v>
      </c>
      <c r="BF27" s="7">
        <f t="shared" si="43"/>
        <v>266.23808245393451</v>
      </c>
      <c r="BG27" s="7">
        <f t="shared" si="43"/>
        <v>235.16445576414174</v>
      </c>
      <c r="BH27" s="7">
        <v>117.37891228196852</v>
      </c>
    </row>
    <row r="28" spans="1:60" x14ac:dyDescent="0.2">
      <c r="A28" s="8">
        <f t="shared" si="3"/>
        <v>2042</v>
      </c>
      <c r="B28" s="22">
        <f t="shared" si="41"/>
        <v>1022.9194791288002</v>
      </c>
      <c r="C28" s="22">
        <f t="shared" si="4"/>
        <v>948.80944402978071</v>
      </c>
      <c r="E28" s="15">
        <f t="shared" si="42"/>
        <v>23.534164405238919</v>
      </c>
      <c r="F28" s="15">
        <f t="shared" si="23"/>
        <v>40</v>
      </c>
      <c r="H28" s="22">
        <f t="shared" si="0"/>
        <v>24073.555195138542</v>
      </c>
      <c r="I28" s="22">
        <f t="shared" si="0"/>
        <v>37952.37776119123</v>
      </c>
      <c r="K28" s="54">
        <f t="shared" si="24"/>
        <v>28</v>
      </c>
      <c r="L28" s="7">
        <f t="shared" si="5"/>
        <v>51.14849326682701</v>
      </c>
      <c r="M28" s="7">
        <f t="shared" si="6"/>
        <v>1432.1578114711563</v>
      </c>
      <c r="O28" s="15">
        <f t="shared" si="25"/>
        <v>6</v>
      </c>
      <c r="P28" s="7">
        <f t="shared" si="7"/>
        <v>12.071139086571852</v>
      </c>
      <c r="Q28" s="7">
        <f t="shared" si="8"/>
        <v>72.426834519431111</v>
      </c>
      <c r="S28" s="15">
        <f t="shared" si="26"/>
        <v>54</v>
      </c>
      <c r="T28" s="7">
        <f t="shared" si="9"/>
        <v>20.414426396408277</v>
      </c>
      <c r="U28" s="7">
        <f t="shared" si="10"/>
        <v>1102.379025406047</v>
      </c>
      <c r="W28" s="14">
        <f t="shared" si="27"/>
        <v>2.2999999999999998</v>
      </c>
      <c r="X28" s="7">
        <f t="shared" si="11"/>
        <v>50.970976515553893</v>
      </c>
      <c r="Y28" s="22">
        <f t="shared" si="12"/>
        <v>117.23324598577395</v>
      </c>
      <c r="AA28" s="7">
        <f t="shared" si="13"/>
        <v>48.441061546625633</v>
      </c>
      <c r="AB28" s="7">
        <f t="shared" si="1"/>
        <v>1937.6424618650253</v>
      </c>
      <c r="AD28" s="7">
        <f t="shared" si="28"/>
        <v>59.4</v>
      </c>
      <c r="AE28" s="7">
        <f t="shared" si="14"/>
        <v>67.817486165275866</v>
      </c>
      <c r="AF28" s="22">
        <f t="shared" si="15"/>
        <v>4028.3586782173866</v>
      </c>
      <c r="AH28" s="15">
        <f t="shared" si="29"/>
        <v>11</v>
      </c>
      <c r="AI28" s="7">
        <f t="shared" si="16"/>
        <v>214.43093435073038</v>
      </c>
      <c r="AJ28" s="7">
        <f t="shared" si="17"/>
        <v>569.28566641786824</v>
      </c>
      <c r="AK28" s="7">
        <f t="shared" si="30"/>
        <v>2928.0259442759025</v>
      </c>
      <c r="AM28" s="7">
        <f t="shared" si="18"/>
        <v>77.505698474600976</v>
      </c>
      <c r="AN28" s="22">
        <f t="shared" si="31"/>
        <v>3100.2279389840392</v>
      </c>
      <c r="AP28" s="7">
        <f t="shared" si="32"/>
        <v>6</v>
      </c>
      <c r="AQ28" s="7">
        <f t="shared" si="19"/>
        <v>388.07103226232698</v>
      </c>
      <c r="AR28" s="22">
        <f t="shared" si="33"/>
        <v>2328.4261935739619</v>
      </c>
      <c r="AS28" s="7">
        <f t="shared" si="34"/>
        <v>19</v>
      </c>
      <c r="AT28" s="7">
        <f t="shared" si="20"/>
        <v>387.52849237300478</v>
      </c>
      <c r="AU28" s="22">
        <f t="shared" si="35"/>
        <v>7363.0413550870908</v>
      </c>
      <c r="AW28" s="7">
        <f t="shared" si="36"/>
        <v>212</v>
      </c>
      <c r="AY28" s="22">
        <f t="shared" si="37"/>
        <v>24621.919489385815</v>
      </c>
      <c r="BA28" s="22">
        <f t="shared" si="2"/>
        <v>13330.458271805415</v>
      </c>
      <c r="BC28" s="51">
        <f t="shared" si="21"/>
        <v>24.95898064028389</v>
      </c>
      <c r="BE28" s="7">
        <f t="shared" si="43"/>
        <v>243.65426522684771</v>
      </c>
      <c r="BF28" s="7">
        <f t="shared" si="43"/>
        <v>274.75770109246042</v>
      </c>
      <c r="BG28" s="7">
        <f t="shared" si="43"/>
        <v>242.68971834859428</v>
      </c>
      <c r="BH28" s="7">
        <v>117.9799000627972</v>
      </c>
    </row>
    <row r="29" spans="1:60" x14ac:dyDescent="0.2">
      <c r="A29" s="8">
        <f t="shared" si="3"/>
        <v>2043</v>
      </c>
      <c r="B29" s="22">
        <f t="shared" si="41"/>
        <v>1022.9194791288002</v>
      </c>
      <c r="C29" s="22">
        <f t="shared" si="4"/>
        <v>979.1713462387338</v>
      </c>
      <c r="E29" s="15">
        <f t="shared" si="42"/>
        <v>23.449421773408353</v>
      </c>
      <c r="F29" s="15">
        <f t="shared" si="23"/>
        <v>40</v>
      </c>
      <c r="H29" s="22">
        <f t="shared" si="0"/>
        <v>23986.870306326418</v>
      </c>
      <c r="I29" s="22">
        <f t="shared" si="0"/>
        <v>39166.853849549356</v>
      </c>
      <c r="K29" s="54">
        <f t="shared" si="24"/>
        <v>28</v>
      </c>
      <c r="L29" s="7">
        <f t="shared" si="5"/>
        <v>51.564498460147696</v>
      </c>
      <c r="M29" s="7">
        <f t="shared" si="6"/>
        <v>1443.8059568841354</v>
      </c>
      <c r="O29" s="15">
        <f t="shared" si="25"/>
        <v>6</v>
      </c>
      <c r="P29" s="7">
        <f t="shared" si="7"/>
        <v>12.169317082219029</v>
      </c>
      <c r="Q29" s="7">
        <f t="shared" si="8"/>
        <v>73.015902493314172</v>
      </c>
      <c r="S29" s="15">
        <f t="shared" si="26"/>
        <v>54</v>
      </c>
      <c r="T29" s="7">
        <f t="shared" si="9"/>
        <v>20.580462712576299</v>
      </c>
      <c r="U29" s="7">
        <f t="shared" si="10"/>
        <v>1111.3449864791201</v>
      </c>
      <c r="W29" s="14">
        <f t="shared" si="27"/>
        <v>2.2999999999999998</v>
      </c>
      <c r="X29" s="7">
        <f t="shared" si="11"/>
        <v>51.385537914820951</v>
      </c>
      <c r="Y29" s="22">
        <f t="shared" si="12"/>
        <v>118.18673720408817</v>
      </c>
      <c r="AA29" s="7">
        <f t="shared" si="13"/>
        <v>49.991175516117657</v>
      </c>
      <c r="AB29" s="7">
        <f t="shared" si="1"/>
        <v>1999.6470206447063</v>
      </c>
      <c r="AD29" s="7">
        <f t="shared" si="28"/>
        <v>59.4</v>
      </c>
      <c r="AE29" s="7">
        <f t="shared" si="14"/>
        <v>69.987645722564693</v>
      </c>
      <c r="AF29" s="22">
        <f t="shared" si="15"/>
        <v>4157.2661559203425</v>
      </c>
      <c r="AH29" s="15">
        <f t="shared" si="29"/>
        <v>11</v>
      </c>
      <c r="AI29" s="7">
        <f t="shared" si="16"/>
        <v>221.29272424995375</v>
      </c>
      <c r="AJ29" s="7">
        <f t="shared" si="17"/>
        <v>587.50280774324006</v>
      </c>
      <c r="AK29" s="7">
        <f t="shared" si="30"/>
        <v>3021.7227744927313</v>
      </c>
      <c r="AM29" s="7">
        <f t="shared" si="18"/>
        <v>79.9858808257882</v>
      </c>
      <c r="AN29" s="22">
        <f t="shared" si="31"/>
        <v>3199.4352330315278</v>
      </c>
      <c r="AP29" s="7">
        <f t="shared" si="32"/>
        <v>6</v>
      </c>
      <c r="AQ29" s="7">
        <f t="shared" si="19"/>
        <v>400.48930529472142</v>
      </c>
      <c r="AR29" s="22">
        <f t="shared" si="33"/>
        <v>2402.9358317683286</v>
      </c>
      <c r="AS29" s="7">
        <f t="shared" si="34"/>
        <v>19</v>
      </c>
      <c r="AT29" s="7">
        <f t="shared" si="20"/>
        <v>399.92940412894092</v>
      </c>
      <c r="AU29" s="22">
        <f t="shared" si="35"/>
        <v>7598.6586784498777</v>
      </c>
      <c r="AW29" s="7">
        <f t="shared" si="36"/>
        <v>212</v>
      </c>
      <c r="AY29" s="22">
        <f t="shared" si="37"/>
        <v>25338.01927736817</v>
      </c>
      <c r="BA29" s="22">
        <f t="shared" si="2"/>
        <v>13828.834572181186</v>
      </c>
      <c r="BC29" s="51">
        <f t="shared" si="21"/>
        <v>24.889007520186603</v>
      </c>
      <c r="BE29" s="7">
        <f t="shared" si="43"/>
        <v>251.45120171410684</v>
      </c>
      <c r="BF29" s="7">
        <f t="shared" si="43"/>
        <v>283.54994752741914</v>
      </c>
      <c r="BG29" s="7">
        <f t="shared" si="43"/>
        <v>250.4557893357493</v>
      </c>
      <c r="BH29" s="7">
        <v>118.93946403035226</v>
      </c>
    </row>
    <row r="30" spans="1:60" x14ac:dyDescent="0.2">
      <c r="A30" s="8">
        <f t="shared" si="3"/>
        <v>2044</v>
      </c>
      <c r="B30" s="22">
        <f t="shared" si="41"/>
        <v>1022.9194791288002</v>
      </c>
      <c r="C30" s="22">
        <f t="shared" si="4"/>
        <v>1010.5048293183731</v>
      </c>
      <c r="E30" s="15">
        <f t="shared" si="42"/>
        <v>23.364984285772664</v>
      </c>
      <c r="F30" s="15">
        <f t="shared" si="23"/>
        <v>40</v>
      </c>
      <c r="H30" s="22">
        <f t="shared" si="0"/>
        <v>23900.497555455175</v>
      </c>
      <c r="I30" s="22">
        <f t="shared" si="0"/>
        <v>40420.193172734929</v>
      </c>
      <c r="K30" s="54">
        <f t="shared" si="24"/>
        <v>28</v>
      </c>
      <c r="L30" s="7">
        <f t="shared" si="5"/>
        <v>52.150376880174392</v>
      </c>
      <c r="M30" s="7">
        <f t="shared" si="6"/>
        <v>1460.2105526448829</v>
      </c>
      <c r="O30" s="15">
        <f t="shared" si="25"/>
        <v>6</v>
      </c>
      <c r="P30" s="7">
        <f t="shared" si="7"/>
        <v>12.307585473803302</v>
      </c>
      <c r="Q30" s="7">
        <f t="shared" si="8"/>
        <v>73.845512842819815</v>
      </c>
      <c r="S30" s="15">
        <f t="shared" si="26"/>
        <v>54</v>
      </c>
      <c r="T30" s="7">
        <f t="shared" si="9"/>
        <v>20.814298963049705</v>
      </c>
      <c r="U30" s="7">
        <f t="shared" si="10"/>
        <v>1123.972144004684</v>
      </c>
      <c r="W30" s="14">
        <f t="shared" si="27"/>
        <v>2.2999999999999998</v>
      </c>
      <c r="X30" s="7">
        <f t="shared" si="11"/>
        <v>51.969382976147884</v>
      </c>
      <c r="Y30" s="22">
        <f t="shared" si="12"/>
        <v>119.52958084514012</v>
      </c>
      <c r="AA30" s="7">
        <f t="shared" si="13"/>
        <v>51.590893132633425</v>
      </c>
      <c r="AB30" s="7">
        <f t="shared" si="1"/>
        <v>2063.635725305337</v>
      </c>
      <c r="AD30" s="7">
        <f t="shared" si="28"/>
        <v>59.4</v>
      </c>
      <c r="AE30" s="7">
        <f t="shared" si="14"/>
        <v>72.227250385686759</v>
      </c>
      <c r="AF30" s="22">
        <f t="shared" si="15"/>
        <v>4290.2986729097929</v>
      </c>
      <c r="AH30" s="15">
        <f t="shared" si="29"/>
        <v>11</v>
      </c>
      <c r="AI30" s="7">
        <f t="shared" si="16"/>
        <v>228.37409142595226</v>
      </c>
      <c r="AJ30" s="7">
        <f t="shared" si="17"/>
        <v>606.30289759102379</v>
      </c>
      <c r="AK30" s="7">
        <f t="shared" si="30"/>
        <v>3118.4179032764987</v>
      </c>
      <c r="AM30" s="7">
        <f t="shared" si="18"/>
        <v>82.545429012213418</v>
      </c>
      <c r="AN30" s="22">
        <f t="shared" si="31"/>
        <v>3301.8171604885365</v>
      </c>
      <c r="AP30" s="7">
        <f t="shared" si="32"/>
        <v>6</v>
      </c>
      <c r="AQ30" s="7">
        <f t="shared" si="19"/>
        <v>413.3049630641525</v>
      </c>
      <c r="AR30" s="22">
        <f t="shared" si="33"/>
        <v>2479.8297783849148</v>
      </c>
      <c r="AS30" s="7">
        <f t="shared" si="34"/>
        <v>19</v>
      </c>
      <c r="AT30" s="7">
        <f t="shared" si="20"/>
        <v>412.72714506106701</v>
      </c>
      <c r="AU30" s="22">
        <f t="shared" si="35"/>
        <v>7841.8157561602729</v>
      </c>
      <c r="AW30" s="7">
        <f t="shared" si="36"/>
        <v>212</v>
      </c>
      <c r="AY30" s="22">
        <f t="shared" si="37"/>
        <v>26085.372786862878</v>
      </c>
      <c r="BA30" s="22">
        <f t="shared" si="2"/>
        <v>14334.820385872052</v>
      </c>
      <c r="BC30" s="51">
        <f t="shared" si="21"/>
        <v>24.829899913922667</v>
      </c>
      <c r="BE30" s="7">
        <f t="shared" si="43"/>
        <v>259.49764016895824</v>
      </c>
      <c r="BF30" s="7">
        <f t="shared" si="43"/>
        <v>292.62354584829654</v>
      </c>
      <c r="BG30" s="7">
        <f t="shared" si="43"/>
        <v>258.47037459449325</v>
      </c>
      <c r="BH30" s="7">
        <v>120.29086019139086</v>
      </c>
    </row>
    <row r="31" spans="1:60" x14ac:dyDescent="0.2">
      <c r="A31" s="8">
        <f t="shared" si="3"/>
        <v>2045</v>
      </c>
      <c r="B31" s="22">
        <f t="shared" si="41"/>
        <v>1022.9194791288002</v>
      </c>
      <c r="C31" s="22">
        <f t="shared" si="4"/>
        <v>1042.840983856561</v>
      </c>
      <c r="E31" s="15">
        <f t="shared" si="42"/>
        <v>23.280850843558099</v>
      </c>
      <c r="F31" s="15">
        <f t="shared" si="23"/>
        <v>40</v>
      </c>
      <c r="H31" s="22">
        <f t="shared" si="0"/>
        <v>23814.435818567737</v>
      </c>
      <c r="I31" s="22">
        <f t="shared" si="0"/>
        <v>41713.639354262443</v>
      </c>
      <c r="K31" s="54">
        <f t="shared" si="24"/>
        <v>28</v>
      </c>
      <c r="L31" s="7">
        <f t="shared" si="5"/>
        <v>52.842989907594372</v>
      </c>
      <c r="M31" s="7">
        <f t="shared" si="6"/>
        <v>1479.6037174126425</v>
      </c>
      <c r="O31" s="15">
        <f t="shared" si="25"/>
        <v>6</v>
      </c>
      <c r="P31" s="7">
        <f t="shared" si="7"/>
        <v>12.471043430297605</v>
      </c>
      <c r="Q31" s="7">
        <f t="shared" si="8"/>
        <v>74.826260581785633</v>
      </c>
      <c r="S31" s="15">
        <f t="shared" si="26"/>
        <v>54</v>
      </c>
      <c r="T31" s="7">
        <f t="shared" si="9"/>
        <v>21.090735213003306</v>
      </c>
      <c r="U31" s="7">
        <f t="shared" si="10"/>
        <v>1138.8997015021785</v>
      </c>
      <c r="W31" s="14">
        <f t="shared" si="27"/>
        <v>2.2999999999999998</v>
      </c>
      <c r="X31" s="7">
        <f t="shared" si="11"/>
        <v>52.659592210090011</v>
      </c>
      <c r="Y31" s="22">
        <f t="shared" si="12"/>
        <v>121.11706208320702</v>
      </c>
      <c r="AA31" s="7">
        <f t="shared" si="13"/>
        <v>53.241801712877695</v>
      </c>
      <c r="AB31" s="7">
        <f t="shared" si="1"/>
        <v>2129.6720685151076</v>
      </c>
      <c r="AD31" s="7">
        <f t="shared" si="28"/>
        <v>59.4</v>
      </c>
      <c r="AE31" s="7">
        <f t="shared" si="14"/>
        <v>74.538522398028732</v>
      </c>
      <c r="AF31" s="22">
        <f t="shared" si="15"/>
        <v>4427.5882304429069</v>
      </c>
      <c r="AH31" s="15">
        <f t="shared" si="29"/>
        <v>11</v>
      </c>
      <c r="AI31" s="7">
        <f t="shared" si="16"/>
        <v>235.68206235158272</v>
      </c>
      <c r="AJ31" s="7">
        <f t="shared" si="17"/>
        <v>625.70459031393648</v>
      </c>
      <c r="AK31" s="7">
        <f t="shared" si="30"/>
        <v>3218.2072761813465</v>
      </c>
      <c r="AM31" s="7">
        <f t="shared" si="18"/>
        <v>85.186882740604247</v>
      </c>
      <c r="AN31" s="22">
        <f t="shared" si="31"/>
        <v>3407.4753096241698</v>
      </c>
      <c r="AP31" s="7">
        <f t="shared" si="32"/>
        <v>6</v>
      </c>
      <c r="AQ31" s="7">
        <f t="shared" si="19"/>
        <v>426.5307218822054</v>
      </c>
      <c r="AR31" s="22">
        <f t="shared" si="33"/>
        <v>2559.1843312932324</v>
      </c>
      <c r="AS31" s="7">
        <f t="shared" si="34"/>
        <v>19</v>
      </c>
      <c r="AT31" s="7">
        <f t="shared" si="20"/>
        <v>425.93441370302116</v>
      </c>
      <c r="AU31" s="22">
        <f t="shared" si="35"/>
        <v>8092.7538603574021</v>
      </c>
      <c r="AW31" s="7">
        <f t="shared" si="36"/>
        <v>212</v>
      </c>
      <c r="AY31" s="22">
        <f t="shared" si="37"/>
        <v>26861.327817993981</v>
      </c>
      <c r="BA31" s="22">
        <f t="shared" si="2"/>
        <v>14852.311536268462</v>
      </c>
      <c r="BC31" s="51">
        <f t="shared" si="21"/>
        <v>24.777360563661802</v>
      </c>
      <c r="BE31" s="7">
        <f t="shared" si="43"/>
        <v>267.80156465436488</v>
      </c>
      <c r="BF31" s="7">
        <f t="shared" si="43"/>
        <v>301.98749931544205</v>
      </c>
      <c r="BG31" s="7">
        <f t="shared" si="43"/>
        <v>266.74142658151703</v>
      </c>
      <c r="BH31" s="7">
        <v>121.88845203697896</v>
      </c>
    </row>
    <row r="32" spans="1:60" x14ac:dyDescent="0.2">
      <c r="A32" s="8">
        <f t="shared" si="3"/>
        <v>2046</v>
      </c>
      <c r="B32" s="22">
        <f t="shared" si="41"/>
        <v>1022.9194791288002</v>
      </c>
      <c r="C32" s="22">
        <f t="shared" si="4"/>
        <v>1076.2118953399709</v>
      </c>
      <c r="E32" s="15">
        <f t="shared" si="42"/>
        <v>23.197020351947408</v>
      </c>
      <c r="F32" s="15">
        <f t="shared" si="23"/>
        <v>40</v>
      </c>
      <c r="H32" s="22">
        <f t="shared" si="0"/>
        <v>23728.683975754218</v>
      </c>
      <c r="I32" s="22">
        <f t="shared" si="0"/>
        <v>43048.475813598838</v>
      </c>
      <c r="K32" s="54">
        <f t="shared" si="24"/>
        <v>28</v>
      </c>
      <c r="L32" s="7">
        <f t="shared" si="5"/>
        <v>53.638253060982315</v>
      </c>
      <c r="M32" s="7">
        <f t="shared" si="6"/>
        <v>1501.8710857075048</v>
      </c>
      <c r="O32" s="15">
        <f t="shared" si="25"/>
        <v>6</v>
      </c>
      <c r="P32" s="7">
        <f t="shared" si="7"/>
        <v>12.658727006525208</v>
      </c>
      <c r="Q32" s="7">
        <f t="shared" si="8"/>
        <v>75.95236203915124</v>
      </c>
      <c r="S32" s="15">
        <f t="shared" si="26"/>
        <v>54</v>
      </c>
      <c r="T32" s="7">
        <f t="shared" si="9"/>
        <v>21.408141261035283</v>
      </c>
      <c r="U32" s="7">
        <f t="shared" si="10"/>
        <v>1156.0396280959053</v>
      </c>
      <c r="W32" s="14">
        <f t="shared" si="27"/>
        <v>2.2999999999999998</v>
      </c>
      <c r="X32" s="7">
        <f t="shared" si="11"/>
        <v>53.452095310886371</v>
      </c>
      <c r="Y32" s="22">
        <f t="shared" si="12"/>
        <v>122.93981921503864</v>
      </c>
      <c r="AA32" s="7">
        <f t="shared" si="13"/>
        <v>54.945539367689783</v>
      </c>
      <c r="AB32" s="7">
        <f t="shared" si="1"/>
        <v>2197.8215747075915</v>
      </c>
      <c r="AD32" s="7">
        <f t="shared" si="28"/>
        <v>59.4</v>
      </c>
      <c r="AE32" s="7">
        <f t="shared" si="14"/>
        <v>76.923755114765655</v>
      </c>
      <c r="AF32" s="22">
        <f t="shared" si="15"/>
        <v>4569.2710538170795</v>
      </c>
      <c r="AH32" s="15">
        <f t="shared" si="29"/>
        <v>11</v>
      </c>
      <c r="AI32" s="7">
        <f t="shared" si="16"/>
        <v>243.22388834683335</v>
      </c>
      <c r="AJ32" s="7">
        <f t="shared" si="17"/>
        <v>645.72713720398235</v>
      </c>
      <c r="AK32" s="7">
        <f t="shared" si="30"/>
        <v>3321.1899090191491</v>
      </c>
      <c r="AM32" s="7">
        <f t="shared" si="18"/>
        <v>87.912862988303587</v>
      </c>
      <c r="AN32" s="22">
        <f t="shared" si="31"/>
        <v>3516.5145195321434</v>
      </c>
      <c r="AP32" s="7">
        <f t="shared" si="32"/>
        <v>6</v>
      </c>
      <c r="AQ32" s="7">
        <f t="shared" si="19"/>
        <v>440.17970498243602</v>
      </c>
      <c r="AR32" s="22">
        <f t="shared" si="33"/>
        <v>2641.078229894616</v>
      </c>
      <c r="AS32" s="7">
        <f t="shared" si="34"/>
        <v>19</v>
      </c>
      <c r="AT32" s="7">
        <f t="shared" si="20"/>
        <v>439.56431494151786</v>
      </c>
      <c r="AU32" s="22">
        <f t="shared" si="35"/>
        <v>8351.7219838888395</v>
      </c>
      <c r="AW32" s="7">
        <f t="shared" si="36"/>
        <v>212</v>
      </c>
      <c r="AY32" s="22">
        <f t="shared" si="37"/>
        <v>27666.400165917024</v>
      </c>
      <c r="BA32" s="22">
        <f t="shared" si="2"/>
        <v>15382.075647681813</v>
      </c>
      <c r="BC32" s="51">
        <f t="shared" si="21"/>
        <v>24.730647831010049</v>
      </c>
      <c r="BE32" s="7">
        <f t="shared" si="43"/>
        <v>276.37121472330455</v>
      </c>
      <c r="BF32" s="7">
        <f t="shared" si="43"/>
        <v>311.65109929353622</v>
      </c>
      <c r="BG32" s="7">
        <f t="shared" si="43"/>
        <v>275.27715223212556</v>
      </c>
      <c r="BH32" s="7">
        <v>123.72281823953503</v>
      </c>
    </row>
    <row r="33" spans="1:60" x14ac:dyDescent="0.2">
      <c r="A33" s="8">
        <f t="shared" si="3"/>
        <v>2047</v>
      </c>
      <c r="B33" s="22">
        <f t="shared" si="41"/>
        <v>1022.9194791288002</v>
      </c>
      <c r="C33" s="22">
        <f t="shared" si="4"/>
        <v>1110.65067599085</v>
      </c>
      <c r="E33" s="15">
        <f t="shared" si="42"/>
        <v>23.113491720065596</v>
      </c>
      <c r="F33" s="15">
        <f t="shared" si="23"/>
        <v>40</v>
      </c>
      <c r="H33" s="22">
        <f t="shared" si="0"/>
        <v>23643.240911137334</v>
      </c>
      <c r="I33" s="22">
        <f t="shared" si="0"/>
        <v>44426.027039633998</v>
      </c>
      <c r="K33" s="54">
        <f t="shared" si="24"/>
        <v>28</v>
      </c>
      <c r="L33" s="7">
        <f t="shared" si="5"/>
        <v>54.47719746391919</v>
      </c>
      <c r="M33" s="7">
        <f t="shared" si="6"/>
        <v>1525.3615289897373</v>
      </c>
      <c r="O33" s="15">
        <f t="shared" si="25"/>
        <v>6</v>
      </c>
      <c r="P33" s="7">
        <f t="shared" si="7"/>
        <v>12.85671943850013</v>
      </c>
      <c r="Q33" s="7">
        <f t="shared" si="8"/>
        <v>77.140316631000786</v>
      </c>
      <c r="S33" s="15">
        <f t="shared" si="26"/>
        <v>54</v>
      </c>
      <c r="T33" s="7">
        <f t="shared" si="9"/>
        <v>21.742981403345809</v>
      </c>
      <c r="U33" s="7">
        <f t="shared" si="10"/>
        <v>1174.1209957806736</v>
      </c>
      <c r="W33" s="14">
        <f t="shared" si="27"/>
        <v>2.2999999999999998</v>
      </c>
      <c r="X33" s="7">
        <f t="shared" si="11"/>
        <v>54.28812806041185</v>
      </c>
      <c r="Y33" s="22">
        <f t="shared" si="12"/>
        <v>124.86269453894725</v>
      </c>
      <c r="AA33" s="7">
        <f t="shared" si="13"/>
        <v>56.703796627455858</v>
      </c>
      <c r="AB33" s="7">
        <f t="shared" si="1"/>
        <v>2268.1518650982343</v>
      </c>
      <c r="AD33" s="7">
        <f t="shared" si="28"/>
        <v>59.4</v>
      </c>
      <c r="AE33" s="7">
        <f t="shared" si="14"/>
        <v>79.385315278438156</v>
      </c>
      <c r="AF33" s="22">
        <f t="shared" si="15"/>
        <v>4715.4877275392264</v>
      </c>
      <c r="AH33" s="15">
        <f t="shared" si="29"/>
        <v>11</v>
      </c>
      <c r="AI33" s="7">
        <f t="shared" si="16"/>
        <v>251.007052773932</v>
      </c>
      <c r="AJ33" s="7">
        <f t="shared" si="17"/>
        <v>666.39040559450984</v>
      </c>
      <c r="AK33" s="7">
        <f t="shared" si="30"/>
        <v>3427.467986107762</v>
      </c>
      <c r="AM33" s="7">
        <f t="shared" si="18"/>
        <v>90.726074603929305</v>
      </c>
      <c r="AN33" s="22">
        <f t="shared" si="31"/>
        <v>3629.0429841571722</v>
      </c>
      <c r="AP33" s="7">
        <f t="shared" si="32"/>
        <v>6</v>
      </c>
      <c r="AQ33" s="7">
        <f t="shared" si="19"/>
        <v>454.26545554187402</v>
      </c>
      <c r="AR33" s="22">
        <f t="shared" si="33"/>
        <v>2725.5927332512442</v>
      </c>
      <c r="AS33" s="7">
        <f t="shared" si="34"/>
        <v>19</v>
      </c>
      <c r="AT33" s="7">
        <f t="shared" si="20"/>
        <v>453.63037301964641</v>
      </c>
      <c r="AU33" s="22">
        <f t="shared" si="35"/>
        <v>8618.9770873732814</v>
      </c>
      <c r="AW33" s="7">
        <f t="shared" si="36"/>
        <v>212</v>
      </c>
      <c r="AY33" s="22">
        <f t="shared" si="37"/>
        <v>28498.20591946728</v>
      </c>
      <c r="BA33" s="22">
        <f t="shared" si="2"/>
        <v>15927.821120166718</v>
      </c>
      <c r="BC33" s="51">
        <f t="shared" si="21"/>
        <v>24.686304939850945</v>
      </c>
      <c r="BE33" s="7">
        <f t="shared" si="43"/>
        <v>285.21509359445031</v>
      </c>
      <c r="BF33" s="7">
        <f t="shared" si="43"/>
        <v>321.62393447092938</v>
      </c>
      <c r="BG33" s="7">
        <f t="shared" si="43"/>
        <v>284.08602110355355</v>
      </c>
      <c r="BH33" s="7">
        <v>125.65794028311885</v>
      </c>
    </row>
    <row r="34" spans="1:60" x14ac:dyDescent="0.2">
      <c r="A34" s="8">
        <f t="shared" si="3"/>
        <v>2048</v>
      </c>
      <c r="B34" s="22">
        <f t="shared" si="41"/>
        <v>1022.9194791288002</v>
      </c>
      <c r="C34" s="22">
        <f t="shared" si="4"/>
        <v>1146.1914976225571</v>
      </c>
      <c r="E34" s="15">
        <f t="shared" si="42"/>
        <v>23.030263860965729</v>
      </c>
      <c r="F34" s="15">
        <f t="shared" si="23"/>
        <v>40</v>
      </c>
      <c r="H34" s="22">
        <f t="shared" si="0"/>
        <v>23558.105512857892</v>
      </c>
      <c r="I34" s="22">
        <f t="shared" si="0"/>
        <v>45847.659904902284</v>
      </c>
      <c r="K34" s="54">
        <f t="shared" si="24"/>
        <v>28</v>
      </c>
      <c r="L34" s="7">
        <f t="shared" si="5"/>
        <v>55.344846463689102</v>
      </c>
      <c r="M34" s="7">
        <f t="shared" si="6"/>
        <v>1549.6557009832948</v>
      </c>
      <c r="O34" s="15">
        <f t="shared" si="25"/>
        <v>6</v>
      </c>
      <c r="P34" s="7">
        <f t="shared" si="7"/>
        <v>13.06148620845971</v>
      </c>
      <c r="Q34" s="7">
        <f t="shared" si="8"/>
        <v>78.368917250758258</v>
      </c>
      <c r="S34" s="15">
        <f t="shared" si="26"/>
        <v>54</v>
      </c>
      <c r="T34" s="7">
        <f t="shared" si="9"/>
        <v>22.089278146659808</v>
      </c>
      <c r="U34" s="7">
        <f t="shared" si="10"/>
        <v>1192.8210199196296</v>
      </c>
      <c r="W34" s="14">
        <f t="shared" si="27"/>
        <v>2.2999999999999998</v>
      </c>
      <c r="X34" s="7">
        <f t="shared" si="11"/>
        <v>55.15276578415294</v>
      </c>
      <c r="Y34" s="22">
        <f t="shared" si="12"/>
        <v>126.85136130355176</v>
      </c>
      <c r="AA34" s="7">
        <f t="shared" si="13"/>
        <v>58.518318119534449</v>
      </c>
      <c r="AB34" s="7">
        <f t="shared" si="1"/>
        <v>2340.7327247813778</v>
      </c>
      <c r="AD34" s="7">
        <f t="shared" si="28"/>
        <v>59.4</v>
      </c>
      <c r="AE34" s="7">
        <f t="shared" si="14"/>
        <v>81.925645367348181</v>
      </c>
      <c r="AF34" s="22">
        <f t="shared" si="15"/>
        <v>4866.3833348204817</v>
      </c>
      <c r="AH34" s="15">
        <f t="shared" si="29"/>
        <v>11</v>
      </c>
      <c r="AI34" s="7">
        <f t="shared" si="16"/>
        <v>259.03927846269784</v>
      </c>
      <c r="AJ34" s="7">
        <f t="shared" si="17"/>
        <v>687.71489857353413</v>
      </c>
      <c r="AK34" s="7">
        <f t="shared" si="30"/>
        <v>3537.1469616632103</v>
      </c>
      <c r="AM34" s="7">
        <f t="shared" si="18"/>
        <v>93.629308991255044</v>
      </c>
      <c r="AN34" s="22">
        <f t="shared" si="31"/>
        <v>3745.1723596502015</v>
      </c>
      <c r="AP34" s="7">
        <f t="shared" si="32"/>
        <v>6</v>
      </c>
      <c r="AQ34" s="7">
        <f t="shared" si="19"/>
        <v>468.80195011921404</v>
      </c>
      <c r="AR34" s="22">
        <f t="shared" si="33"/>
        <v>2812.8117007152841</v>
      </c>
      <c r="AS34" s="7">
        <f t="shared" si="34"/>
        <v>19</v>
      </c>
      <c r="AT34" s="7">
        <f t="shared" si="20"/>
        <v>468.14654495627508</v>
      </c>
      <c r="AU34" s="22">
        <f t="shared" si="35"/>
        <v>8894.7843541692273</v>
      </c>
      <c r="AW34" s="7">
        <f t="shared" si="36"/>
        <v>212</v>
      </c>
      <c r="AY34" s="22">
        <f t="shared" si="37"/>
        <v>29356.728435257017</v>
      </c>
      <c r="BA34" s="22">
        <f t="shared" si="2"/>
        <v>16490.931469645267</v>
      </c>
      <c r="BC34" s="51">
        <f t="shared" si="21"/>
        <v>24.643428021938412</v>
      </c>
      <c r="BE34" s="7">
        <f t="shared" si="43"/>
        <v>294.34197658947272</v>
      </c>
      <c r="BF34" s="7">
        <f t="shared" si="43"/>
        <v>331.91590037399914</v>
      </c>
      <c r="BG34" s="7">
        <f t="shared" si="43"/>
        <v>293.17677377886724</v>
      </c>
      <c r="BH34" s="7">
        <v>127.65927279057767</v>
      </c>
    </row>
    <row r="35" spans="1:60" x14ac:dyDescent="0.2">
      <c r="A35" s="8">
        <f t="shared" si="3"/>
        <v>2049</v>
      </c>
      <c r="B35" s="22">
        <f t="shared" si="41"/>
        <v>1022.9194791288002</v>
      </c>
      <c r="C35" s="22">
        <f t="shared" si="4"/>
        <v>1182.869625546479</v>
      </c>
      <c r="E35" s="15">
        <f t="shared" si="42"/>
        <v>22.947335691614786</v>
      </c>
      <c r="F35" s="15">
        <f t="shared" si="23"/>
        <v>40</v>
      </c>
      <c r="H35" s="22">
        <f t="shared" si="0"/>
        <v>23473.276673060322</v>
      </c>
      <c r="I35" s="22">
        <f t="shared" si="0"/>
        <v>47314.785021859163</v>
      </c>
      <c r="K35" s="54">
        <f t="shared" si="24"/>
        <v>28</v>
      </c>
      <c r="L35" s="7">
        <f t="shared" si="5"/>
        <v>56.18894739212697</v>
      </c>
      <c r="M35" s="7">
        <f t="shared" si="6"/>
        <v>1573.2905269795551</v>
      </c>
      <c r="O35" s="15">
        <f t="shared" si="25"/>
        <v>6</v>
      </c>
      <c r="P35" s="7">
        <f t="shared" si="7"/>
        <v>13.260695589997571</v>
      </c>
      <c r="Q35" s="7">
        <f t="shared" si="8"/>
        <v>79.564173539985433</v>
      </c>
      <c r="S35" s="15">
        <f t="shared" si="26"/>
        <v>54</v>
      </c>
      <c r="T35" s="7">
        <f t="shared" si="9"/>
        <v>22.426176365437072</v>
      </c>
      <c r="U35" s="7">
        <f t="shared" si="10"/>
        <v>1211.0135237336019</v>
      </c>
      <c r="W35" s="14">
        <f t="shared" si="27"/>
        <v>2.2999999999999998</v>
      </c>
      <c r="X35" s="7">
        <f t="shared" si="11"/>
        <v>55.993937162862316</v>
      </c>
      <c r="Y35" s="22">
        <f t="shared" si="12"/>
        <v>128.78605547458332</v>
      </c>
      <c r="AA35" s="7">
        <f t="shared" si="13"/>
        <v>60.390904299359555</v>
      </c>
      <c r="AB35" s="7">
        <f t="shared" si="1"/>
        <v>2415.6361719743823</v>
      </c>
      <c r="AD35" s="7">
        <f t="shared" si="28"/>
        <v>59.4</v>
      </c>
      <c r="AE35" s="7">
        <f t="shared" si="14"/>
        <v>84.547266019103319</v>
      </c>
      <c r="AF35" s="22">
        <f t="shared" si="15"/>
        <v>5022.1076015347371</v>
      </c>
      <c r="AH35" s="15">
        <f t="shared" si="29"/>
        <v>11</v>
      </c>
      <c r="AI35" s="7">
        <f t="shared" si="16"/>
        <v>267.32853537350417</v>
      </c>
      <c r="AJ35" s="7">
        <f t="shared" si="17"/>
        <v>709.72177532788726</v>
      </c>
      <c r="AK35" s="7">
        <f t="shared" si="30"/>
        <v>3650.335664436433</v>
      </c>
      <c r="AM35" s="7">
        <f t="shared" si="18"/>
        <v>96.625446878975211</v>
      </c>
      <c r="AN35" s="22">
        <f t="shared" si="31"/>
        <v>3865.0178751590083</v>
      </c>
      <c r="AP35" s="7">
        <f t="shared" si="32"/>
        <v>6</v>
      </c>
      <c r="AQ35" s="7">
        <f t="shared" si="19"/>
        <v>483.8036125230289</v>
      </c>
      <c r="AR35" s="22">
        <f t="shared" si="33"/>
        <v>2902.8216751381733</v>
      </c>
      <c r="AS35" s="7">
        <f t="shared" si="34"/>
        <v>19</v>
      </c>
      <c r="AT35" s="7">
        <f t="shared" si="20"/>
        <v>483.12723439487587</v>
      </c>
      <c r="AU35" s="22">
        <f t="shared" si="35"/>
        <v>9179.4174535026414</v>
      </c>
      <c r="AW35" s="7">
        <f t="shared" si="36"/>
        <v>212</v>
      </c>
      <c r="AY35" s="22">
        <f t="shared" si="37"/>
        <v>30239.990721473099</v>
      </c>
      <c r="BA35" s="22">
        <f t="shared" si="2"/>
        <v>17074.794300386064</v>
      </c>
      <c r="BC35" s="51">
        <f t="shared" si="21"/>
        <v>24.599445875303786</v>
      </c>
      <c r="BE35" s="7">
        <f t="shared" si="43"/>
        <v>303.76091984033587</v>
      </c>
      <c r="BF35" s="7">
        <f t="shared" si="43"/>
        <v>342.53720918596713</v>
      </c>
      <c r="BG35" s="7">
        <f t="shared" si="43"/>
        <v>302.558430539791</v>
      </c>
      <c r="BH35" s="7">
        <v>129.60628895507148</v>
      </c>
    </row>
    <row r="36" spans="1:60" x14ac:dyDescent="0.2">
      <c r="A36" s="8">
        <f t="shared" si="3"/>
        <v>2050</v>
      </c>
      <c r="B36" s="22">
        <f t="shared" si="41"/>
        <v>1022.9194791288002</v>
      </c>
      <c r="C36" s="22">
        <f t="shared" si="4"/>
        <v>1220.7214535639662</v>
      </c>
      <c r="E36" s="15">
        <f t="shared" si="42"/>
        <v>22.864706132879569</v>
      </c>
      <c r="F36" s="15">
        <f t="shared" si="23"/>
        <v>40</v>
      </c>
      <c r="H36" s="22">
        <f t="shared" si="0"/>
        <v>23388.753287878251</v>
      </c>
      <c r="I36" s="22">
        <f t="shared" si="0"/>
        <v>48828.858142558645</v>
      </c>
      <c r="K36" s="54">
        <f t="shared" si="24"/>
        <v>28</v>
      </c>
      <c r="L36" s="7">
        <f t="shared" si="5"/>
        <v>56.992654844207415</v>
      </c>
      <c r="M36" s="7">
        <f t="shared" si="6"/>
        <v>1595.7943356378075</v>
      </c>
      <c r="O36" s="15">
        <f t="shared" si="25"/>
        <v>6</v>
      </c>
      <c r="P36" s="7">
        <f t="shared" si="7"/>
        <v>13.450372036346959</v>
      </c>
      <c r="Q36" s="7">
        <f t="shared" si="8"/>
        <v>80.702232218081747</v>
      </c>
      <c r="S36" s="15">
        <f t="shared" si="26"/>
        <v>54</v>
      </c>
      <c r="T36" s="7">
        <f t="shared" si="9"/>
        <v>22.746952708527949</v>
      </c>
      <c r="U36" s="7">
        <f t="shared" si="10"/>
        <v>1228.3354462605093</v>
      </c>
      <c r="W36" s="14">
        <f t="shared" si="27"/>
        <v>2.2999999999999998</v>
      </c>
      <c r="X36" s="7">
        <f t="shared" si="11"/>
        <v>56.794855255437625</v>
      </c>
      <c r="Y36" s="22">
        <f t="shared" si="12"/>
        <v>130.62816708750654</v>
      </c>
      <c r="AA36" s="7">
        <f t="shared" si="13"/>
        <v>62.323413236939061</v>
      </c>
      <c r="AB36" s="7">
        <f t="shared" si="1"/>
        <v>2492.9365294775625</v>
      </c>
      <c r="AD36" s="7">
        <f t="shared" si="28"/>
        <v>59.4</v>
      </c>
      <c r="AE36" s="7">
        <f t="shared" si="14"/>
        <v>87.252778531714625</v>
      </c>
      <c r="AF36" s="22">
        <f t="shared" si="15"/>
        <v>5182.8150447838489</v>
      </c>
      <c r="AH36" s="15">
        <f t="shared" si="29"/>
        <v>11</v>
      </c>
      <c r="AI36" s="7">
        <f t="shared" si="16"/>
        <v>275.88304850545632</v>
      </c>
      <c r="AJ36" s="7">
        <f t="shared" si="17"/>
        <v>732.43287213837971</v>
      </c>
      <c r="AK36" s="7">
        <f t="shared" si="30"/>
        <v>3767.1464056983996</v>
      </c>
      <c r="AM36" s="7">
        <f t="shared" si="18"/>
        <v>99.717461179102401</v>
      </c>
      <c r="AN36" s="22">
        <f t="shared" si="31"/>
        <v>3988.6984471640963</v>
      </c>
      <c r="AP36" s="7">
        <f t="shared" si="32"/>
        <v>6</v>
      </c>
      <c r="AQ36" s="7">
        <f t="shared" si="19"/>
        <v>499.28532812376579</v>
      </c>
      <c r="AR36" s="22">
        <f t="shared" si="33"/>
        <v>2995.7119687425948</v>
      </c>
      <c r="AS36" s="7">
        <f t="shared" si="34"/>
        <v>19</v>
      </c>
      <c r="AT36" s="7">
        <f t="shared" si="20"/>
        <v>498.58730589551192</v>
      </c>
      <c r="AU36" s="22">
        <f t="shared" si="35"/>
        <v>9473.1588120147262</v>
      </c>
      <c r="AW36" s="7">
        <f t="shared" si="36"/>
        <v>212</v>
      </c>
      <c r="AY36" s="22">
        <f t="shared" si="37"/>
        <v>31147.927389085133</v>
      </c>
      <c r="BA36" s="22">
        <f t="shared" si="2"/>
        <v>17680.930753473513</v>
      </c>
      <c r="BC36" s="51">
        <f t="shared" si="21"/>
        <v>24.553728398554469</v>
      </c>
      <c r="BE36" s="7">
        <f t="shared" si="43"/>
        <v>313.48126927522662</v>
      </c>
      <c r="BF36" s="7">
        <f t="shared" si="43"/>
        <v>353.49839987991805</v>
      </c>
      <c r="BG36" s="7">
        <f t="shared" si="43"/>
        <v>312.24030031706434</v>
      </c>
      <c r="BH36" s="7">
        <v>131.46013290667179</v>
      </c>
    </row>
    <row r="37" spans="1:60" s="100" customFormat="1" x14ac:dyDescent="0.2">
      <c r="A37" s="100">
        <f t="shared" si="3"/>
        <v>2051</v>
      </c>
      <c r="B37" s="112">
        <f t="shared" si="41"/>
        <v>1022.9194791288002</v>
      </c>
      <c r="C37" s="112">
        <f t="shared" si="4"/>
        <v>1259.7845400780134</v>
      </c>
      <c r="E37" s="110">
        <f t="shared" si="42"/>
        <v>22.782374109512663</v>
      </c>
      <c r="F37" s="15">
        <f t="shared" si="23"/>
        <v>40</v>
      </c>
      <c r="H37" s="112">
        <f t="shared" si="0"/>
        <v>23304.534257420157</v>
      </c>
      <c r="I37" s="112">
        <f t="shared" si="0"/>
        <v>50391.381603120535</v>
      </c>
      <c r="K37" s="105">
        <f t="shared" si="24"/>
        <v>28</v>
      </c>
      <c r="L37" s="111">
        <f t="shared" si="5"/>
        <v>57.716300428379071</v>
      </c>
      <c r="M37" s="111">
        <f t="shared" si="6"/>
        <v>1616.0564119946139</v>
      </c>
      <c r="O37" s="110">
        <f t="shared" si="25"/>
        <v>6</v>
      </c>
      <c r="P37" s="111">
        <f t="shared" si="7"/>
        <v>13.621153733675763</v>
      </c>
      <c r="Q37" s="111">
        <f t="shared" si="8"/>
        <v>81.726922402054583</v>
      </c>
      <c r="S37" s="110">
        <f t="shared" si="26"/>
        <v>54</v>
      </c>
      <c r="T37" s="111">
        <f t="shared" si="9"/>
        <v>23.035774696657544</v>
      </c>
      <c r="U37" s="111">
        <f t="shared" si="10"/>
        <v>1243.9318336195074</v>
      </c>
      <c r="W37" s="109">
        <f t="shared" si="27"/>
        <v>2.2999999999999998</v>
      </c>
      <c r="X37" s="111">
        <f t="shared" si="11"/>
        <v>57.51598934406033</v>
      </c>
      <c r="Y37" s="112">
        <f t="shared" si="12"/>
        <v>132.28677549133874</v>
      </c>
      <c r="AA37" s="111">
        <f t="shared" si="13"/>
        <v>64.317762460521109</v>
      </c>
      <c r="AB37" s="111">
        <f t="shared" si="1"/>
        <v>2572.7104984208445</v>
      </c>
      <c r="AD37" s="111">
        <f t="shared" si="28"/>
        <v>59.4</v>
      </c>
      <c r="AE37" s="111">
        <f t="shared" si="14"/>
        <v>90.044867444729491</v>
      </c>
      <c r="AF37" s="112">
        <f t="shared" si="15"/>
        <v>5348.6651262169316</v>
      </c>
      <c r="AH37" s="110">
        <f t="shared" si="29"/>
        <v>11</v>
      </c>
      <c r="AI37" s="111">
        <f t="shared" si="16"/>
        <v>284.71130605763091</v>
      </c>
      <c r="AJ37" s="111">
        <f t="shared" si="17"/>
        <v>755.87072404680794</v>
      </c>
      <c r="AK37" s="111">
        <f t="shared" si="30"/>
        <v>3887.6950906807479</v>
      </c>
      <c r="AM37" s="111">
        <f t="shared" si="18"/>
        <v>102.90841993683367</v>
      </c>
      <c r="AN37" s="112">
        <f t="shared" si="31"/>
        <v>4116.3367974733465</v>
      </c>
      <c r="AP37" s="111">
        <f t="shared" si="32"/>
        <v>6</v>
      </c>
      <c r="AQ37" s="111">
        <f t="shared" si="19"/>
        <v>515.26245862372627</v>
      </c>
      <c r="AR37" s="112">
        <f t="shared" si="33"/>
        <v>3091.5747517423579</v>
      </c>
      <c r="AS37" s="111">
        <f t="shared" si="34"/>
        <v>19</v>
      </c>
      <c r="AT37" s="111">
        <f t="shared" si="20"/>
        <v>514.54209968416831</v>
      </c>
      <c r="AU37" s="112">
        <f t="shared" si="35"/>
        <v>9776.2998939991976</v>
      </c>
      <c r="AW37" s="111">
        <f t="shared" si="36"/>
        <v>212</v>
      </c>
      <c r="AY37" s="112">
        <f t="shared" si="37"/>
        <v>32079.28410204094</v>
      </c>
      <c r="BA37" s="112">
        <f t="shared" si="2"/>
        <v>18312.097501079596</v>
      </c>
      <c r="BC37" s="110">
        <f t="shared" si="21"/>
        <v>24.504715774705822</v>
      </c>
      <c r="BE37" s="111">
        <f t="shared" si="43"/>
        <v>323.5126698920339</v>
      </c>
      <c r="BF37" s="111">
        <f t="shared" si="43"/>
        <v>364.81034867607542</v>
      </c>
      <c r="BG37" s="111">
        <f t="shared" si="43"/>
        <v>322.23198992721041</v>
      </c>
      <c r="BH37" s="111">
        <v>133.12930492423399</v>
      </c>
    </row>
    <row r="38" spans="1:60" s="100" customFormat="1" x14ac:dyDescent="0.2">
      <c r="A38" s="100">
        <f t="shared" si="3"/>
        <v>2052</v>
      </c>
      <c r="B38" s="112">
        <f t="shared" si="41"/>
        <v>1022.9194791288002</v>
      </c>
      <c r="C38" s="112">
        <f t="shared" si="4"/>
        <v>1300.0976453605099</v>
      </c>
      <c r="E38" s="110">
        <f t="shared" si="42"/>
        <v>22.70033855013844</v>
      </c>
      <c r="F38" s="15">
        <f t="shared" si="23"/>
        <v>40</v>
      </c>
      <c r="H38" s="112">
        <f t="shared" si="0"/>
        <v>23220.618485755036</v>
      </c>
      <c r="I38" s="112">
        <f t="shared" si="0"/>
        <v>52003.905814420395</v>
      </c>
      <c r="K38" s="105">
        <f t="shared" si="24"/>
        <v>28</v>
      </c>
      <c r="L38" s="111">
        <f t="shared" si="5"/>
        <v>58.350387352445573</v>
      </c>
      <c r="M38" s="111">
        <f t="shared" si="6"/>
        <v>1633.810845868476</v>
      </c>
      <c r="O38" s="110">
        <f t="shared" si="25"/>
        <v>6</v>
      </c>
      <c r="P38" s="111">
        <f t="shared" si="7"/>
        <v>13.770799421447126</v>
      </c>
      <c r="Q38" s="111">
        <f t="shared" si="8"/>
        <v>82.624796528682765</v>
      </c>
      <c r="S38" s="110">
        <f t="shared" si="26"/>
        <v>54</v>
      </c>
      <c r="T38" s="111">
        <f t="shared" si="9"/>
        <v>23.288851962741468</v>
      </c>
      <c r="U38" s="111">
        <f t="shared" si="10"/>
        <v>1257.5980059880392</v>
      </c>
      <c r="W38" s="109">
        <f t="shared" si="27"/>
        <v>2.2999999999999998</v>
      </c>
      <c r="X38" s="111">
        <f t="shared" si="11"/>
        <v>58.147875596247836</v>
      </c>
      <c r="Y38" s="112">
        <f t="shared" si="12"/>
        <v>133.74011387137</v>
      </c>
      <c r="AA38" s="111">
        <f t="shared" si="13"/>
        <v>66.375930859257792</v>
      </c>
      <c r="AB38" s="111">
        <f t="shared" si="1"/>
        <v>2655.0372343703116</v>
      </c>
      <c r="AD38" s="111">
        <f t="shared" si="28"/>
        <v>59.4</v>
      </c>
      <c r="AE38" s="111">
        <f t="shared" si="14"/>
        <v>92.926303202960838</v>
      </c>
      <c r="AF38" s="112">
        <f t="shared" si="15"/>
        <v>5519.8224102558734</v>
      </c>
      <c r="AH38" s="110">
        <f t="shared" si="29"/>
        <v>11</v>
      </c>
      <c r="AI38" s="111">
        <f t="shared" si="16"/>
        <v>293.82206785147508</v>
      </c>
      <c r="AJ38" s="111">
        <f t="shared" si="17"/>
        <v>780.0585872163058</v>
      </c>
      <c r="AK38" s="111">
        <f t="shared" si="30"/>
        <v>4012.1013335825319</v>
      </c>
      <c r="AM38" s="111">
        <f t="shared" si="18"/>
        <v>106.20148937481234</v>
      </c>
      <c r="AN38" s="112">
        <f t="shared" si="31"/>
        <v>4248.0595749924933</v>
      </c>
      <c r="AP38" s="111">
        <f t="shared" si="32"/>
        <v>6</v>
      </c>
      <c r="AQ38" s="111">
        <f t="shared" si="19"/>
        <v>531.75085729968544</v>
      </c>
      <c r="AR38" s="112">
        <f t="shared" si="33"/>
        <v>3190.5051437981128</v>
      </c>
      <c r="AS38" s="111">
        <f t="shared" si="34"/>
        <v>19</v>
      </c>
      <c r="AT38" s="111">
        <f t="shared" si="20"/>
        <v>531.00744687406166</v>
      </c>
      <c r="AU38" s="112">
        <f t="shared" si="35"/>
        <v>10089.141490607171</v>
      </c>
      <c r="AW38" s="111">
        <f t="shared" si="36"/>
        <v>212</v>
      </c>
      <c r="AY38" s="112">
        <f t="shared" si="37"/>
        <v>33034.440949863063</v>
      </c>
      <c r="BA38" s="112">
        <f t="shared" si="2"/>
        <v>18969.464864557332</v>
      </c>
      <c r="BC38" s="110">
        <f t="shared" si="21"/>
        <v>24.452356930175547</v>
      </c>
      <c r="BE38" s="111">
        <f t="shared" si="43"/>
        <v>333.865075328579</v>
      </c>
      <c r="BF38" s="111">
        <f t="shared" si="43"/>
        <v>376.48427983370982</v>
      </c>
      <c r="BG38" s="111">
        <f t="shared" si="43"/>
        <v>332.54341360488115</v>
      </c>
      <c r="BH38" s="111">
        <v>134.59189956103458</v>
      </c>
    </row>
    <row r="39" spans="1:60" s="100" customFormat="1" x14ac:dyDescent="0.2">
      <c r="A39" s="100">
        <f t="shared" si="3"/>
        <v>2053</v>
      </c>
      <c r="B39" s="112">
        <f t="shared" si="41"/>
        <v>1022.9194791288002</v>
      </c>
      <c r="C39" s="112">
        <f t="shared" si="4"/>
        <v>1341.7007700120462</v>
      </c>
      <c r="E39" s="110">
        <f t="shared" ref="E39:E40" si="44">E38*((E$41/E$21)^(1/($A$41-$A$21)))</f>
        <v>22.618598387239121</v>
      </c>
      <c r="F39" s="15">
        <f t="shared" si="23"/>
        <v>40</v>
      </c>
      <c r="H39" s="112">
        <f t="shared" si="0"/>
        <v>23137.004880898163</v>
      </c>
      <c r="I39" s="112">
        <f t="shared" si="0"/>
        <v>53668.030800481851</v>
      </c>
      <c r="K39" s="105">
        <f t="shared" si="24"/>
        <v>28</v>
      </c>
      <c r="L39" s="111">
        <f t="shared" si="5"/>
        <v>58.873288449078323</v>
      </c>
      <c r="M39" s="111">
        <f t="shared" si="6"/>
        <v>1648.4520765741931</v>
      </c>
      <c r="O39" s="110">
        <f t="shared" si="25"/>
        <v>6</v>
      </c>
      <c r="P39" s="111">
        <f t="shared" si="7"/>
        <v>13.894205048139723</v>
      </c>
      <c r="Q39" s="111">
        <f t="shared" si="8"/>
        <v>83.365230288838333</v>
      </c>
      <c r="S39" s="110">
        <f t="shared" si="26"/>
        <v>54</v>
      </c>
      <c r="T39" s="111">
        <f t="shared" si="9"/>
        <v>23.497552654942183</v>
      </c>
      <c r="U39" s="111">
        <f t="shared" si="10"/>
        <v>1268.8678433668779</v>
      </c>
      <c r="W39" s="109">
        <f t="shared" si="27"/>
        <v>2.2999999999999998</v>
      </c>
      <c r="X39" s="111">
        <f t="shared" si="11"/>
        <v>58.668961904252754</v>
      </c>
      <c r="Y39" s="112">
        <f t="shared" si="12"/>
        <v>134.93861237978132</v>
      </c>
      <c r="AA39" s="111">
        <f t="shared" si="13"/>
        <v>68.499960646754047</v>
      </c>
      <c r="AB39" s="111">
        <f t="shared" si="1"/>
        <v>2739.998425870162</v>
      </c>
      <c r="AD39" s="111">
        <f t="shared" si="28"/>
        <v>59.4</v>
      </c>
      <c r="AE39" s="111">
        <f t="shared" si="14"/>
        <v>95.899944905455584</v>
      </c>
      <c r="AF39" s="112">
        <f t="shared" si="15"/>
        <v>5696.4567273840612</v>
      </c>
      <c r="AH39" s="110">
        <f t="shared" si="29"/>
        <v>11</v>
      </c>
      <c r="AI39" s="111">
        <f t="shared" si="16"/>
        <v>303.22437402272226</v>
      </c>
      <c r="AJ39" s="111">
        <f t="shared" si="17"/>
        <v>805.02046200722759</v>
      </c>
      <c r="AK39" s="111">
        <f t="shared" si="30"/>
        <v>4140.4885762571721</v>
      </c>
      <c r="AM39" s="111">
        <f t="shared" si="18"/>
        <v>109.59993703480633</v>
      </c>
      <c r="AN39" s="112">
        <f t="shared" si="31"/>
        <v>4383.9974813922536</v>
      </c>
      <c r="AP39" s="111">
        <f t="shared" si="32"/>
        <v>6</v>
      </c>
      <c r="AQ39" s="111">
        <f t="shared" si="19"/>
        <v>548.76688473327533</v>
      </c>
      <c r="AR39" s="112">
        <f t="shared" si="33"/>
        <v>3292.6013083996522</v>
      </c>
      <c r="AS39" s="111">
        <f t="shared" si="34"/>
        <v>19</v>
      </c>
      <c r="AT39" s="111">
        <f t="shared" si="20"/>
        <v>547.99968517403158</v>
      </c>
      <c r="AU39" s="112">
        <f t="shared" si="35"/>
        <v>10411.994018306599</v>
      </c>
      <c r="AW39" s="111">
        <f t="shared" si="36"/>
        <v>212</v>
      </c>
      <c r="AY39" s="112">
        <f t="shared" si="37"/>
        <v>34013.160300219592</v>
      </c>
      <c r="BA39" s="112">
        <f t="shared" si="2"/>
        <v>19654.870500262259</v>
      </c>
      <c r="BC39" s="110">
        <f t="shared" si="21"/>
        <v>24.396121684711964</v>
      </c>
      <c r="BE39" s="111">
        <f t="shared" si="43"/>
        <v>344.5487577390935</v>
      </c>
      <c r="BF39" s="111">
        <f t="shared" si="43"/>
        <v>388.53177678838853</v>
      </c>
      <c r="BG39" s="111">
        <f t="shared" si="43"/>
        <v>343.18480284023735</v>
      </c>
      <c r="BH39" s="111">
        <v>135.79803126078241</v>
      </c>
    </row>
    <row r="40" spans="1:60" s="100" customFormat="1" x14ac:dyDescent="0.2">
      <c r="A40" s="100">
        <f t="shared" si="3"/>
        <v>2054</v>
      </c>
      <c r="B40" s="112">
        <f t="shared" si="41"/>
        <v>1022.9194791288002</v>
      </c>
      <c r="C40" s="112">
        <f t="shared" si="4"/>
        <v>1384.6351946524317</v>
      </c>
      <c r="E40" s="110">
        <f t="shared" si="44"/>
        <v>22.537152557140875</v>
      </c>
      <c r="F40" s="15">
        <f t="shared" si="23"/>
        <v>40</v>
      </c>
      <c r="H40" s="112">
        <f t="shared" si="0"/>
        <v>23053.692354796851</v>
      </c>
      <c r="I40" s="112">
        <f t="shared" si="0"/>
        <v>55385.407786097268</v>
      </c>
      <c r="K40" s="105">
        <f t="shared" si="24"/>
        <v>28</v>
      </c>
      <c r="L40" s="111">
        <f t="shared" si="5"/>
        <v>59.288532469478554</v>
      </c>
      <c r="M40" s="111">
        <f t="shared" si="6"/>
        <v>1660.0789091453994</v>
      </c>
      <c r="O40" s="110">
        <f t="shared" si="25"/>
        <v>6</v>
      </c>
      <c r="P40" s="111">
        <f t="shared" si="7"/>
        <v>13.992203405568747</v>
      </c>
      <c r="Q40" s="111">
        <f t="shared" si="8"/>
        <v>83.953220433412483</v>
      </c>
      <c r="S40" s="110">
        <f t="shared" si="26"/>
        <v>54</v>
      </c>
      <c r="T40" s="111">
        <f t="shared" si="9"/>
        <v>23.663285171182444</v>
      </c>
      <c r="U40" s="111">
        <f t="shared" si="10"/>
        <v>1277.8173992438519</v>
      </c>
      <c r="W40" s="109">
        <f t="shared" si="27"/>
        <v>2.2999999999999998</v>
      </c>
      <c r="X40" s="111">
        <f t="shared" si="11"/>
        <v>59.082764772337853</v>
      </c>
      <c r="Y40" s="112">
        <f t="shared" si="12"/>
        <v>135.89035897637706</v>
      </c>
      <c r="AA40" s="111">
        <f t="shared" si="13"/>
        <v>70.691959387450183</v>
      </c>
      <c r="AB40" s="111">
        <f t="shared" si="1"/>
        <v>2827.6783754980074</v>
      </c>
      <c r="AD40" s="111">
        <f t="shared" si="28"/>
        <v>59.4</v>
      </c>
      <c r="AE40" s="111">
        <f t="shared" si="14"/>
        <v>98.968743142430171</v>
      </c>
      <c r="AF40" s="112">
        <f t="shared" si="15"/>
        <v>5878.743342660352</v>
      </c>
      <c r="AH40" s="110">
        <f t="shared" si="29"/>
        <v>11</v>
      </c>
      <c r="AI40" s="111">
        <f t="shared" si="16"/>
        <v>312.92755399144943</v>
      </c>
      <c r="AJ40" s="111">
        <f t="shared" si="17"/>
        <v>830.78111679145889</v>
      </c>
      <c r="AK40" s="111">
        <f t="shared" si="30"/>
        <v>4272.9842106974029</v>
      </c>
      <c r="AM40" s="111">
        <f t="shared" si="18"/>
        <v>113.10713501992014</v>
      </c>
      <c r="AN40" s="112">
        <f t="shared" si="31"/>
        <v>4524.2854007968053</v>
      </c>
      <c r="AP40" s="111">
        <f t="shared" si="32"/>
        <v>6</v>
      </c>
      <c r="AQ40" s="111">
        <f t="shared" si="19"/>
        <v>566.32742504474015</v>
      </c>
      <c r="AR40" s="112">
        <f t="shared" si="33"/>
        <v>3397.9645502684407</v>
      </c>
      <c r="AS40" s="111">
        <f t="shared" si="34"/>
        <v>19</v>
      </c>
      <c r="AT40" s="111">
        <f t="shared" si="20"/>
        <v>565.53567509960055</v>
      </c>
      <c r="AU40" s="112">
        <f t="shared" si="35"/>
        <v>10745.17782689241</v>
      </c>
      <c r="AW40" s="111">
        <f t="shared" si="36"/>
        <v>212</v>
      </c>
      <c r="AY40" s="112">
        <f t="shared" si="37"/>
        <v>35016.573594612462</v>
      </c>
      <c r="BA40" s="112">
        <f t="shared" si="2"/>
        <v>20368.834191484806</v>
      </c>
      <c r="BC40" s="110">
        <f t="shared" si="21"/>
        <v>24.33658803583376</v>
      </c>
      <c r="BE40" s="111">
        <f t="shared" si="43"/>
        <v>355.57431798674452</v>
      </c>
      <c r="BF40" s="111">
        <f t="shared" si="43"/>
        <v>400.96479364561696</v>
      </c>
      <c r="BG40" s="111">
        <f t="shared" si="43"/>
        <v>354.16671653112496</v>
      </c>
      <c r="BH40" s="111">
        <v>136.75583949518972</v>
      </c>
    </row>
    <row r="41" spans="1:60" s="100" customFormat="1" x14ac:dyDescent="0.2">
      <c r="A41" s="100">
        <f t="shared" si="3"/>
        <v>2055</v>
      </c>
      <c r="B41" s="112">
        <f t="shared" si="41"/>
        <v>1022.9194791288002</v>
      </c>
      <c r="C41" s="112">
        <f t="shared" si="4"/>
        <v>1428.9435208813097</v>
      </c>
      <c r="E41" s="110">
        <f>E7*0.802</f>
        <v>22.456000000000003</v>
      </c>
      <c r="F41" s="15">
        <f t="shared" si="23"/>
        <v>40</v>
      </c>
      <c r="H41" s="112">
        <f t="shared" si="0"/>
        <v>22970.679823316339</v>
      </c>
      <c r="I41" s="112">
        <f t="shared" si="0"/>
        <v>57157.740835252393</v>
      </c>
      <c r="K41" s="105">
        <f t="shared" si="24"/>
        <v>28</v>
      </c>
      <c r="L41" s="111">
        <f t="shared" si="5"/>
        <v>59.593398482022209</v>
      </c>
      <c r="M41" s="111">
        <f t="shared" si="6"/>
        <v>1668.6151574966218</v>
      </c>
      <c r="O41" s="110">
        <f t="shared" si="25"/>
        <v>6</v>
      </c>
      <c r="P41" s="111">
        <f t="shared" si="7"/>
        <v>14.064152348834487</v>
      </c>
      <c r="Q41" s="111">
        <f t="shared" si="8"/>
        <v>84.384914093006927</v>
      </c>
      <c r="S41" s="110">
        <f t="shared" si="26"/>
        <v>54</v>
      </c>
      <c r="T41" s="111">
        <f t="shared" si="9"/>
        <v>23.78496353111715</v>
      </c>
      <c r="U41" s="111">
        <f t="shared" si="10"/>
        <v>1284.388030680326</v>
      </c>
      <c r="W41" s="109">
        <f t="shared" si="27"/>
        <v>2.2999999999999998</v>
      </c>
      <c r="X41" s="111">
        <f t="shared" si="11"/>
        <v>59.386572712186421</v>
      </c>
      <c r="Y41" s="112">
        <f t="shared" si="12"/>
        <v>136.58911723802876</v>
      </c>
      <c r="AA41" s="111">
        <f t="shared" si="13"/>
        <v>72.954102087848597</v>
      </c>
      <c r="AB41" s="111">
        <f t="shared" si="1"/>
        <v>2918.1640835139438</v>
      </c>
      <c r="AD41" s="111">
        <f t="shared" si="28"/>
        <v>59.4</v>
      </c>
      <c r="AE41" s="111">
        <f t="shared" si="14"/>
        <v>102.13574292298794</v>
      </c>
      <c r="AF41" s="112">
        <f t="shared" si="15"/>
        <v>6066.8631296254835</v>
      </c>
      <c r="AH41" s="110">
        <f t="shared" si="29"/>
        <v>11</v>
      </c>
      <c r="AI41" s="111">
        <f t="shared" si="16"/>
        <v>322.94123571917584</v>
      </c>
      <c r="AJ41" s="111">
        <f t="shared" si="17"/>
        <v>857.36611252878561</v>
      </c>
      <c r="AK41" s="111">
        <f t="shared" si="30"/>
        <v>4409.7197054397202</v>
      </c>
      <c r="AM41" s="111">
        <f t="shared" si="18"/>
        <v>116.72656334055758</v>
      </c>
      <c r="AN41" s="112">
        <f t="shared" si="31"/>
        <v>4669.0625336223029</v>
      </c>
      <c r="AP41" s="111">
        <f t="shared" si="32"/>
        <v>6</v>
      </c>
      <c r="AQ41" s="111">
        <f t="shared" si="19"/>
        <v>584.44990264617184</v>
      </c>
      <c r="AR41" s="112">
        <f t="shared" si="33"/>
        <v>3506.6994158770312</v>
      </c>
      <c r="AS41" s="111">
        <f t="shared" si="34"/>
        <v>19</v>
      </c>
      <c r="AT41" s="111">
        <f t="shared" si="20"/>
        <v>583.63281670278775</v>
      </c>
      <c r="AU41" s="112">
        <f t="shared" si="35"/>
        <v>11089.023517352967</v>
      </c>
      <c r="AW41" s="111">
        <f t="shared" si="36"/>
        <v>212</v>
      </c>
      <c r="AY41" s="112">
        <f t="shared" si="37"/>
        <v>36045.509604939434</v>
      </c>
      <c r="BA41" s="112">
        <f t="shared" si="2"/>
        <v>21112.231230312958</v>
      </c>
      <c r="BC41" s="110">
        <f t="shared" si="21"/>
        <v>24.274043045787973</v>
      </c>
      <c r="BE41" s="111">
        <f t="shared" si="43"/>
        <v>366.95269616232036</v>
      </c>
      <c r="BF41" s="111">
        <f t="shared" si="43"/>
        <v>413.7956670422767</v>
      </c>
      <c r="BG41" s="111">
        <f t="shared" si="43"/>
        <v>365.50005146012097</v>
      </c>
      <c r="BH41" s="111">
        <v>137.45904812158676</v>
      </c>
    </row>
    <row r="42" spans="1:60" x14ac:dyDescent="0.2">
      <c r="A42" s="8"/>
      <c r="E42" s="14"/>
      <c r="F42" s="71"/>
      <c r="AW42" s="7"/>
    </row>
  </sheetData>
  <mergeCells count="48">
    <mergeCell ref="Q5:Q6"/>
    <mergeCell ref="S5:S6"/>
    <mergeCell ref="W5:W6"/>
    <mergeCell ref="X5:X6"/>
    <mergeCell ref="E6:F6"/>
    <mergeCell ref="H6:I6"/>
    <mergeCell ref="BE6:BH6"/>
    <mergeCell ref="AS5:AS6"/>
    <mergeCell ref="AT5:AT6"/>
    <mergeCell ref="AU5:AU6"/>
    <mergeCell ref="AY5:AY6"/>
    <mergeCell ref="BA5:BA6"/>
    <mergeCell ref="BC5:BC6"/>
    <mergeCell ref="AH5:AH6"/>
    <mergeCell ref="AI5:AI6"/>
    <mergeCell ref="AK5:AK6"/>
    <mergeCell ref="AM5:AN5"/>
    <mergeCell ref="Y5:Y6"/>
    <mergeCell ref="BE3:BH3"/>
    <mergeCell ref="B4:C4"/>
    <mergeCell ref="E4:F4"/>
    <mergeCell ref="H4:I4"/>
    <mergeCell ref="K4:M4"/>
    <mergeCell ref="O4:Q4"/>
    <mergeCell ref="S4:U4"/>
    <mergeCell ref="W4:Y4"/>
    <mergeCell ref="AS4:AU4"/>
    <mergeCell ref="AD4:AF4"/>
    <mergeCell ref="AH4:AK4"/>
    <mergeCell ref="AM4:AN4"/>
    <mergeCell ref="AA4:AB4"/>
    <mergeCell ref="AP4:AR4"/>
    <mergeCell ref="AP5:AP6"/>
    <mergeCell ref="AQ5:AQ6"/>
    <mergeCell ref="AR5:AR6"/>
    <mergeCell ref="B3:H3"/>
    <mergeCell ref="K3:AY3"/>
    <mergeCell ref="K5:K6"/>
    <mergeCell ref="L5:L6"/>
    <mergeCell ref="M5:M6"/>
    <mergeCell ref="O5:O6"/>
    <mergeCell ref="P5:P6"/>
    <mergeCell ref="AA5:AA6"/>
    <mergeCell ref="AB5:AB6"/>
    <mergeCell ref="AD5:AF5"/>
    <mergeCell ref="AJ5:AJ6"/>
    <mergeCell ref="T5:T6"/>
    <mergeCell ref="U5:U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A253A-637B-460C-9D90-04FEB9610D66}">
  <sheetPr codeName="Sheet8"/>
  <dimension ref="A1:BL42"/>
  <sheetViews>
    <sheetView topLeftCell="AI1" workbookViewId="0">
      <selection activeCell="BU8" sqref="BU8"/>
    </sheetView>
  </sheetViews>
  <sheetFormatPr baseColWidth="10" defaultColWidth="8.83203125" defaultRowHeight="15" x14ac:dyDescent="0.2"/>
  <cols>
    <col min="2" max="2" width="16.1640625" bestFit="1" customWidth="1"/>
    <col min="3" max="3" width="16.6640625" bestFit="1" customWidth="1"/>
    <col min="4" max="4" width="1" customWidth="1"/>
    <col min="5" max="5" width="16.6640625" customWidth="1"/>
    <col min="6" max="6" width="0.83203125" customWidth="1"/>
    <col min="7" max="7" width="11.5" bestFit="1" customWidth="1"/>
    <col min="8" max="8" width="11.5" customWidth="1"/>
    <col min="9" max="9" width="0.83203125" customWidth="1"/>
    <col min="10" max="10" width="10.5" customWidth="1"/>
    <col min="11" max="11" width="5.5" customWidth="1"/>
    <col min="12" max="12" width="9.1640625" customWidth="1"/>
    <col min="13" max="13" width="9.83203125" customWidth="1"/>
    <col min="14" max="14" width="9.1640625" customWidth="1"/>
    <col min="15" max="15" width="0.83203125" customWidth="1"/>
    <col min="16" max="16" width="12.5" customWidth="1"/>
    <col min="17" max="17" width="10.1640625" customWidth="1"/>
    <col min="18" max="18" width="9.1640625" customWidth="1"/>
    <col min="19" max="19" width="0.83203125" customWidth="1"/>
    <col min="20" max="20" width="12.5" customWidth="1"/>
    <col min="21" max="22" width="9.6640625" customWidth="1"/>
    <col min="23" max="23" width="0.83203125" customWidth="1"/>
    <col min="24" max="24" width="12.5" customWidth="1"/>
    <col min="25" max="25" width="9.6640625" customWidth="1"/>
    <col min="26" max="26" width="9.1640625" customWidth="1"/>
    <col min="27" max="27" width="0.83203125" customWidth="1"/>
    <col min="28" max="28" width="13.5" customWidth="1"/>
    <col min="29" max="29" width="10.1640625" customWidth="1"/>
    <col min="30" max="30" width="0.83203125" customWidth="1"/>
    <col min="31" max="31" width="12.6640625" customWidth="1"/>
    <col min="32" max="32" width="9.1640625" customWidth="1"/>
    <col min="33" max="33" width="14.83203125" customWidth="1"/>
    <col min="34" max="34" width="0.83203125" customWidth="1"/>
    <col min="35" max="37" width="9.6640625" customWidth="1"/>
    <col min="38" max="38" width="10" customWidth="1"/>
    <col min="39" max="39" width="0.83203125" customWidth="1"/>
    <col min="40" max="40" width="9.6640625" customWidth="1"/>
    <col min="41" max="41" width="10" customWidth="1"/>
    <col min="42" max="42" width="0.83203125" customWidth="1"/>
    <col min="43" max="48" width="9.6640625" customWidth="1"/>
    <col min="49" max="49" width="0.83203125" customWidth="1"/>
    <col min="50" max="50" width="12.5" customWidth="1"/>
    <col min="51" max="51" width="15.6640625" customWidth="1"/>
    <col min="52" max="52" width="10.83203125" customWidth="1"/>
    <col min="53" max="53" width="12.5" customWidth="1"/>
    <col min="54" max="54" width="5.6640625" customWidth="1"/>
    <col min="55" max="55" width="2.5" customWidth="1"/>
    <col min="56" max="56" width="9.83203125" bestFit="1" customWidth="1"/>
    <col min="57" max="57" width="5.6640625" customWidth="1"/>
    <col min="58" max="58" width="15.83203125" bestFit="1" customWidth="1"/>
    <col min="59" max="59" width="15.83203125" customWidth="1"/>
    <col min="61" max="61" width="10.6640625" customWidth="1"/>
    <col min="62" max="62" width="8.5" customWidth="1"/>
    <col min="63" max="63" width="10.6640625" customWidth="1"/>
    <col min="64" max="64" width="9" customWidth="1"/>
  </cols>
  <sheetData>
    <row r="1" spans="1:64" x14ac:dyDescent="0.2">
      <c r="A1" s="2" t="s">
        <v>87</v>
      </c>
      <c r="G1" t="s">
        <v>46</v>
      </c>
    </row>
    <row r="2" spans="1:64" x14ac:dyDescent="0.2">
      <c r="AX2" s="103" t="s">
        <v>46</v>
      </c>
    </row>
    <row r="3" spans="1:64" x14ac:dyDescent="0.2">
      <c r="B3" s="252" t="s">
        <v>0</v>
      </c>
      <c r="C3" s="252"/>
      <c r="D3" s="252"/>
      <c r="E3" s="252"/>
      <c r="F3" s="252"/>
      <c r="G3" s="252"/>
      <c r="H3" s="252"/>
      <c r="I3" s="252"/>
      <c r="J3" s="252"/>
      <c r="L3" s="265" t="s">
        <v>1</v>
      </c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C3" s="55"/>
      <c r="BD3" s="128" t="s">
        <v>2</v>
      </c>
      <c r="BF3" s="269" t="s">
        <v>3</v>
      </c>
      <c r="BG3" s="269"/>
      <c r="BI3" s="251" t="s">
        <v>4</v>
      </c>
      <c r="BJ3" s="251"/>
      <c r="BK3" s="251"/>
      <c r="BL3" s="251"/>
    </row>
    <row r="4" spans="1:64" x14ac:dyDescent="0.2">
      <c r="B4" s="253" t="s">
        <v>47</v>
      </c>
      <c r="C4" s="253"/>
      <c r="D4" s="1"/>
      <c r="E4" s="132" t="s">
        <v>94</v>
      </c>
      <c r="F4" s="3"/>
      <c r="G4" s="261" t="s">
        <v>8</v>
      </c>
      <c r="H4" s="257" t="s">
        <v>95</v>
      </c>
      <c r="I4" s="3"/>
      <c r="J4" s="142" t="s">
        <v>49</v>
      </c>
      <c r="L4" s="242" t="s">
        <v>10</v>
      </c>
      <c r="M4" s="242"/>
      <c r="N4" s="242"/>
      <c r="O4" s="3"/>
      <c r="P4" s="242" t="s">
        <v>11</v>
      </c>
      <c r="Q4" s="242"/>
      <c r="R4" s="242"/>
      <c r="S4" s="3"/>
      <c r="T4" s="242" t="s">
        <v>12</v>
      </c>
      <c r="U4" s="242"/>
      <c r="V4" s="242"/>
      <c r="W4" s="3"/>
      <c r="X4" s="242" t="s">
        <v>13</v>
      </c>
      <c r="Y4" s="242"/>
      <c r="Z4" s="242"/>
      <c r="AA4" s="3"/>
      <c r="AB4" s="242" t="s">
        <v>15</v>
      </c>
      <c r="AC4" s="242"/>
      <c r="AD4" s="3"/>
      <c r="AE4" s="242" t="s">
        <v>16</v>
      </c>
      <c r="AF4" s="242"/>
      <c r="AG4" s="242"/>
      <c r="AH4" s="12"/>
      <c r="AI4" s="242" t="s">
        <v>17</v>
      </c>
      <c r="AJ4" s="242"/>
      <c r="AK4" s="242"/>
      <c r="AL4" s="242"/>
      <c r="AM4" s="3"/>
      <c r="AN4" s="242" t="s">
        <v>72</v>
      </c>
      <c r="AO4" s="242"/>
      <c r="AP4" s="3"/>
      <c r="AQ4" s="242" t="s">
        <v>88</v>
      </c>
      <c r="AR4" s="242"/>
      <c r="AS4" s="242"/>
      <c r="AT4" s="242" t="s">
        <v>19</v>
      </c>
      <c r="AU4" s="242"/>
      <c r="AV4" s="242"/>
      <c r="AW4" s="3"/>
      <c r="AX4" s="23" t="s">
        <v>23</v>
      </c>
      <c r="AY4" s="12"/>
      <c r="AZ4" s="267" t="s">
        <v>96</v>
      </c>
      <c r="BA4" s="9" t="s">
        <v>25</v>
      </c>
      <c r="BD4" s="140" t="s">
        <v>69</v>
      </c>
      <c r="BF4" t="s">
        <v>68</v>
      </c>
      <c r="BG4" s="140" t="s">
        <v>69</v>
      </c>
    </row>
    <row r="5" spans="1:64" ht="15" customHeight="1" x14ac:dyDescent="0.2">
      <c r="B5" t="s">
        <v>50</v>
      </c>
      <c r="C5" t="s">
        <v>73</v>
      </c>
      <c r="E5" s="131"/>
      <c r="F5" s="1"/>
      <c r="G5" s="261"/>
      <c r="H5" s="257"/>
      <c r="I5" s="1"/>
      <c r="J5" s="140" t="s">
        <v>69</v>
      </c>
      <c r="L5" s="258" t="s">
        <v>26</v>
      </c>
      <c r="M5" s="258" t="s">
        <v>27</v>
      </c>
      <c r="N5" s="259" t="s">
        <v>28</v>
      </c>
      <c r="O5" s="10"/>
      <c r="P5" s="243" t="s">
        <v>29</v>
      </c>
      <c r="Q5" s="243" t="s">
        <v>30</v>
      </c>
      <c r="R5" s="243" t="s">
        <v>28</v>
      </c>
      <c r="S5" s="10"/>
      <c r="T5" s="243" t="s">
        <v>29</v>
      </c>
      <c r="U5" s="243" t="s">
        <v>30</v>
      </c>
      <c r="V5" s="243" t="s">
        <v>28</v>
      </c>
      <c r="W5" s="10"/>
      <c r="X5" s="243" t="s">
        <v>29</v>
      </c>
      <c r="Y5" s="243" t="s">
        <v>30</v>
      </c>
      <c r="Z5" s="243" t="s">
        <v>28</v>
      </c>
      <c r="AA5" s="10"/>
      <c r="AB5" s="244" t="s">
        <v>89</v>
      </c>
      <c r="AC5" s="243" t="s">
        <v>28</v>
      </c>
      <c r="AD5" s="10"/>
      <c r="AE5" s="254"/>
      <c r="AF5" s="255"/>
      <c r="AG5" s="256"/>
      <c r="AH5" s="11"/>
      <c r="AI5" s="257" t="s">
        <v>32</v>
      </c>
      <c r="AJ5" s="260" t="s">
        <v>33</v>
      </c>
      <c r="AK5" s="241" t="s">
        <v>90</v>
      </c>
      <c r="AL5" s="259" t="s">
        <v>28</v>
      </c>
      <c r="AM5" s="10"/>
      <c r="AN5" s="255"/>
      <c r="AO5" s="255"/>
      <c r="AP5" s="10"/>
      <c r="AQ5" s="241" t="s">
        <v>35</v>
      </c>
      <c r="AR5" s="247" t="s">
        <v>33</v>
      </c>
      <c r="AS5" s="243" t="s">
        <v>28</v>
      </c>
      <c r="AT5" s="241" t="s">
        <v>35</v>
      </c>
      <c r="AU5" s="247" t="s">
        <v>33</v>
      </c>
      <c r="AV5" s="243" t="s">
        <v>28</v>
      </c>
      <c r="AW5" s="10"/>
      <c r="AX5" s="11"/>
      <c r="AY5" s="11"/>
      <c r="AZ5" s="267"/>
      <c r="BA5" s="267" t="s">
        <v>37</v>
      </c>
      <c r="BC5" s="24"/>
      <c r="BD5" s="267" t="s">
        <v>97</v>
      </c>
      <c r="BF5" s="241" t="s">
        <v>38</v>
      </c>
      <c r="BG5" s="267" t="s">
        <v>38</v>
      </c>
      <c r="BI5" s="10" t="s">
        <v>39</v>
      </c>
      <c r="BJ5" s="10" t="s">
        <v>40</v>
      </c>
      <c r="BK5" s="10" t="s">
        <v>41</v>
      </c>
      <c r="BL5" t="s">
        <v>10</v>
      </c>
    </row>
    <row r="6" spans="1:64" ht="32" x14ac:dyDescent="0.2">
      <c r="B6" s="1" t="s">
        <v>78</v>
      </c>
      <c r="C6" s="1" t="s">
        <v>78</v>
      </c>
      <c r="D6" s="1"/>
      <c r="E6" s="132"/>
      <c r="F6" s="1"/>
      <c r="G6" s="261"/>
      <c r="H6" s="257"/>
      <c r="I6" s="1"/>
      <c r="J6" s="137" t="s">
        <v>37</v>
      </c>
      <c r="L6" s="258"/>
      <c r="M6" s="258"/>
      <c r="N6" s="259"/>
      <c r="O6" s="10"/>
      <c r="P6" s="243"/>
      <c r="Q6" s="243"/>
      <c r="R6" s="243"/>
      <c r="S6" s="10"/>
      <c r="T6" s="243"/>
      <c r="U6" s="243"/>
      <c r="V6" s="243"/>
      <c r="W6" s="10"/>
      <c r="X6" s="243"/>
      <c r="Y6" s="243"/>
      <c r="Z6" s="243"/>
      <c r="AA6" s="10"/>
      <c r="AB6" s="244"/>
      <c r="AC6" s="243"/>
      <c r="AD6" s="10"/>
      <c r="AE6" s="24" t="s">
        <v>91</v>
      </c>
      <c r="AF6" s="120" t="s">
        <v>33</v>
      </c>
      <c r="AG6" s="10" t="s">
        <v>92</v>
      </c>
      <c r="AH6" s="11"/>
      <c r="AI6" s="257"/>
      <c r="AJ6" s="260"/>
      <c r="AK6" s="241"/>
      <c r="AL6" s="259"/>
      <c r="AM6" s="10"/>
      <c r="AN6" s="119" t="s">
        <v>33</v>
      </c>
      <c r="AO6" s="118" t="s">
        <v>28</v>
      </c>
      <c r="AP6" s="10"/>
      <c r="AQ6" s="241"/>
      <c r="AR6" s="247"/>
      <c r="AS6" s="243"/>
      <c r="AT6" s="241"/>
      <c r="AU6" s="247"/>
      <c r="AV6" s="243"/>
      <c r="AW6" s="10"/>
      <c r="AX6" s="11" t="s">
        <v>93</v>
      </c>
      <c r="AY6" s="11"/>
      <c r="AZ6" s="267"/>
      <c r="BA6" s="267"/>
      <c r="BC6" s="24"/>
      <c r="BD6" s="267"/>
      <c r="BF6" s="241"/>
      <c r="BG6" s="267"/>
      <c r="BI6" s="249" t="s">
        <v>43</v>
      </c>
      <c r="BJ6" s="249"/>
      <c r="BK6" s="249"/>
      <c r="BL6" s="249"/>
    </row>
    <row r="7" spans="1:64" ht="16" x14ac:dyDescent="0.2">
      <c r="A7">
        <v>2021</v>
      </c>
      <c r="B7" s="52">
        <v>1044</v>
      </c>
      <c r="C7" s="52">
        <v>500</v>
      </c>
      <c r="D7" s="52"/>
      <c r="E7" s="130">
        <f>IF(Oranges!C9="Tonne",Oranges!E9,Oranges!E9*1000)</f>
        <v>500</v>
      </c>
      <c r="G7" s="16">
        <v>40</v>
      </c>
      <c r="H7" s="16">
        <f>IF(Oranges!C9="Tonne",Oranges!D9,Oranges!D9/1000)</f>
        <v>40</v>
      </c>
      <c r="J7" s="20">
        <f t="shared" ref="J7:J41" si="0">E7*H7</f>
        <v>20000</v>
      </c>
      <c r="K7" s="53"/>
      <c r="L7" s="135">
        <f>Oranges!D14</f>
        <v>28</v>
      </c>
      <c r="M7" s="135">
        <f>Oranges!E14</f>
        <v>43.22</v>
      </c>
      <c r="N7" s="149">
        <f>+L7*M7</f>
        <v>1210.1599999999999</v>
      </c>
      <c r="P7" s="16">
        <v>6</v>
      </c>
      <c r="Q7" s="4">
        <v>10.199999999999999</v>
      </c>
      <c r="R7" s="6">
        <f>+P7*Q7</f>
        <v>61.199999999999996</v>
      </c>
      <c r="T7" s="16">
        <v>54</v>
      </c>
      <c r="U7" s="4">
        <v>17.25</v>
      </c>
      <c r="V7" s="6">
        <f>+T7*U7</f>
        <v>931.5</v>
      </c>
      <c r="X7" s="5">
        <v>2.2999999999999998</v>
      </c>
      <c r="Y7" s="4">
        <v>43.07</v>
      </c>
      <c r="Z7" s="21">
        <f>+X7*Y7</f>
        <v>99.060999999999993</v>
      </c>
      <c r="AB7" s="4">
        <v>25</v>
      </c>
      <c r="AC7" s="6">
        <f t="shared" ref="AC7:AC41" si="1">+AB7*H7</f>
        <v>1000</v>
      </c>
      <c r="AE7" s="4">
        <v>59.4</v>
      </c>
      <c r="AF7" s="4">
        <v>35</v>
      </c>
      <c r="AG7" s="21">
        <f>+AE7*AF7</f>
        <v>2079</v>
      </c>
      <c r="AI7" s="132">
        <f>Oranges!D15</f>
        <v>11</v>
      </c>
      <c r="AJ7" s="135">
        <f>Oranges!E15</f>
        <v>113</v>
      </c>
      <c r="AK7" s="1">
        <v>300</v>
      </c>
      <c r="AL7" s="149">
        <f>+(AI7*AJ7)+AK7</f>
        <v>1543</v>
      </c>
      <c r="AN7" s="1">
        <v>40</v>
      </c>
      <c r="AO7" s="21">
        <f t="shared" ref="AO7:AO41" si="2">AN7*H7</f>
        <v>1600</v>
      </c>
      <c r="AQ7" s="1">
        <v>6</v>
      </c>
      <c r="AR7" s="4">
        <v>200.28</v>
      </c>
      <c r="AS7" s="21">
        <f>+AQ7*AR7</f>
        <v>1201.68</v>
      </c>
      <c r="AT7" s="1">
        <v>19</v>
      </c>
      <c r="AU7" s="1">
        <v>200</v>
      </c>
      <c r="AV7" s="21">
        <f>+AT7*AU7</f>
        <v>3800</v>
      </c>
      <c r="AX7" s="6">
        <f t="shared" ref="AX7:AX41" si="3">5.3*H7</f>
        <v>212</v>
      </c>
      <c r="AY7" s="192" t="str">
        <f>IF(Oranges!$D$17&lt;0,(+N7+R7+V7+Z7+AC7+AG7+AL7+A7+AS7+AV7+AX7)*Oranges!$D$17/100,IF(Oranges!$D$17&gt;0,(+N7+R7+V7+Z7+AC7+AG7+AL7+A7+AS7+AV7+AX7)*Oranges!$D$17/100,""))</f>
        <v/>
      </c>
      <c r="BA7" s="139">
        <f t="shared" ref="BA7:BA41" si="4">+N7+R7+V7+Z7+AC7+AG7+AL7+AO7+AS7+AV7+AX7+IF(AY7="",0,AY7)</f>
        <v>13737.601000000001</v>
      </c>
      <c r="BC7" s="21"/>
      <c r="BD7" s="139">
        <f t="shared" ref="BD7:BD41" si="5">J7-BA7</f>
        <v>6262.3989999999994</v>
      </c>
      <c r="BF7" s="51">
        <f t="shared" ref="BF7:BF41" si="6">+(N7+R7+V7+Z7+AG7+AL7+AO7+AS7+AV7)/(C7-AB7)</f>
        <v>26.369686315789476</v>
      </c>
      <c r="BG7" s="141">
        <f>+(N7+R7+V7+Z7+AG7+AL7+AO7+AS7+AV7+IF(AY7="",0,AY7))/(E7-AB7)</f>
        <v>26.369686315789476</v>
      </c>
      <c r="BI7" s="4">
        <v>128.4</v>
      </c>
      <c r="BJ7" s="4">
        <v>141.80000000000001</v>
      </c>
      <c r="BK7" s="4">
        <f>+(143.56+106.94)/2</f>
        <v>125.25</v>
      </c>
      <c r="BL7" s="4">
        <v>99.691915734713831</v>
      </c>
    </row>
    <row r="8" spans="1:64" x14ac:dyDescent="0.2">
      <c r="A8" s="8">
        <f t="shared" ref="A8:A41" si="7">+A7+1</f>
        <v>2022</v>
      </c>
      <c r="B8" s="22">
        <f>+B7*1.02</f>
        <v>1064.8800000000001</v>
      </c>
      <c r="C8" s="22">
        <f t="shared" ref="C8:C41" si="8">+C7*BI8/BI7</f>
        <v>507.32087227414326</v>
      </c>
      <c r="D8" s="22"/>
      <c r="E8" s="22">
        <f t="shared" ref="E8:E41" si="9">E7*BI8/BI7</f>
        <v>507.32087227414326</v>
      </c>
      <c r="G8" s="15">
        <f>G7</f>
        <v>40</v>
      </c>
      <c r="H8" s="15">
        <f>H7</f>
        <v>40</v>
      </c>
      <c r="J8" s="22">
        <f t="shared" si="0"/>
        <v>20292.834890965729</v>
      </c>
      <c r="L8" s="54">
        <f>+L7</f>
        <v>28</v>
      </c>
      <c r="M8" s="7">
        <f t="shared" ref="M8:M41" si="10">+M7*$BL8/$BL7</f>
        <v>42.98425454545454</v>
      </c>
      <c r="N8" s="7">
        <f t="shared" ref="N8:N41" si="11">+L8*M8</f>
        <v>1203.5591272727272</v>
      </c>
      <c r="P8" s="15">
        <f>+P7</f>
        <v>6</v>
      </c>
      <c r="Q8" s="7">
        <f t="shared" ref="Q8:Q41" si="12">+Q7*$BL8/$BL7</f>
        <v>10.144363636363634</v>
      </c>
      <c r="R8" s="7">
        <f t="shared" ref="R8:R41" si="13">+P8*Q8</f>
        <v>60.866181818181801</v>
      </c>
      <c r="T8" s="15">
        <f>+T7</f>
        <v>54</v>
      </c>
      <c r="U8" s="7">
        <f t="shared" ref="U8:U41" si="14">+U7*$BL8/$BL7</f>
        <v>17.155909090909088</v>
      </c>
      <c r="V8" s="7">
        <f t="shared" ref="V8:V41" si="15">+T8*U8</f>
        <v>926.41909090909076</v>
      </c>
      <c r="X8" s="14">
        <f>+X7</f>
        <v>2.2999999999999998</v>
      </c>
      <c r="Y8" s="7">
        <f t="shared" ref="Y8:Y41" si="16">+Y7*$BL8/$BL7</f>
        <v>42.835072727272724</v>
      </c>
      <c r="Z8" s="22">
        <f t="shared" ref="Z8:Z41" si="17">+X8*Y8</f>
        <v>98.520667272727252</v>
      </c>
      <c r="AB8" s="7">
        <f t="shared" ref="AB8:AB41" si="18">+AB7*(0.5*$BJ8/$BJ7+0.5*$BK8/$BK7)</f>
        <v>25.8</v>
      </c>
      <c r="AC8" s="6">
        <f t="shared" si="1"/>
        <v>1032</v>
      </c>
      <c r="AE8" s="7">
        <f>+AE7</f>
        <v>59.4</v>
      </c>
      <c r="AF8" s="7">
        <f t="shared" ref="AF8:AF41" si="19">+AF7*(0.5*$BJ8/$BJ7+0.5*$BK8/$BK7)</f>
        <v>36.120000000000005</v>
      </c>
      <c r="AG8" s="22">
        <f t="shared" ref="AG8:AG41" si="20">+AE8*AF8</f>
        <v>2145.5280000000002</v>
      </c>
      <c r="AI8" s="15">
        <f>+AI7</f>
        <v>11</v>
      </c>
      <c r="AJ8" s="7">
        <f t="shared" ref="AJ8:AJ41" si="21">+AJ7*BI8/BI7</f>
        <v>114.65451713395638</v>
      </c>
      <c r="AK8" s="7">
        <f t="shared" ref="AK8:AK41" si="22">+AK7*BI8/BI7</f>
        <v>304.39252336448595</v>
      </c>
      <c r="AL8" s="7">
        <f>(+AI8*AJ8)+AK8</f>
        <v>1565.5922118380061</v>
      </c>
      <c r="AN8" s="7">
        <f t="shared" ref="AN8:AN41" si="23">+AN7*$BJ8/$BJ7</f>
        <v>41.28</v>
      </c>
      <c r="AO8" s="22">
        <f t="shared" si="2"/>
        <v>1651.2</v>
      </c>
      <c r="AQ8" s="7">
        <f>+AQ7</f>
        <v>6</v>
      </c>
      <c r="AR8" s="7">
        <f t="shared" ref="AR8:AR41" si="24">+AR7*$BJ8/$BJ7</f>
        <v>206.68896000000001</v>
      </c>
      <c r="AS8" s="22">
        <f>+AQ8*AR8</f>
        <v>1240.1337600000002</v>
      </c>
      <c r="AT8" s="7">
        <f>+AT7</f>
        <v>19</v>
      </c>
      <c r="AU8" s="7">
        <f t="shared" ref="AU8:AU41" si="25">+AU7*$BJ8/$BJ7</f>
        <v>206.39999999999998</v>
      </c>
      <c r="AV8" s="22">
        <f>+AT8*AU8</f>
        <v>3921.5999999999995</v>
      </c>
      <c r="AX8" s="7">
        <f t="shared" si="3"/>
        <v>212</v>
      </c>
      <c r="AY8" t="str">
        <f>IF(Oranges!$D$17&lt;0,(+N8+R8+V8+Z8+AC8+AG8+AL8+A8+AS8+AV8+AX8)*Oranges!$D$17/100,IF(Oranges!$D$17&gt;0,(+N8+R8+V8+Z8+AC8+AG8+AL8+A8+AS8+AV8+AX8)*Oranges!$D$17/100,""))</f>
        <v/>
      </c>
      <c r="BA8" s="22">
        <f t="shared" si="4"/>
        <v>14057.419039110733</v>
      </c>
      <c r="BC8" s="22"/>
      <c r="BD8" s="22">
        <f t="shared" si="5"/>
        <v>6235.4158518549957</v>
      </c>
      <c r="BF8" s="51">
        <f t="shared" si="6"/>
        <v>26.610308663454358</v>
      </c>
      <c r="BG8" s="141">
        <f t="shared" ref="BG8:BG41" si="26">+(N8+R8+V8+Z8+AG8+AL8+AO8+AS8+AV8+IF(AY8="",0,AY8))/(E8-AB8)</f>
        <v>26.610308663454358</v>
      </c>
      <c r="BI8" s="7">
        <v>130.28</v>
      </c>
      <c r="BJ8" s="7">
        <f>+BJ7+(BJ7*0.032)</f>
        <v>146.33760000000001</v>
      </c>
      <c r="BK8" s="7">
        <f>+BK7+(BK7*0.032)</f>
        <v>129.25800000000001</v>
      </c>
      <c r="BL8" s="7">
        <v>99.1481416488881</v>
      </c>
    </row>
    <row r="9" spans="1:64" x14ac:dyDescent="0.2">
      <c r="A9" s="8">
        <f t="shared" si="7"/>
        <v>2023</v>
      </c>
      <c r="B9" s="22">
        <f>+B8*0.99</f>
        <v>1054.2312000000002</v>
      </c>
      <c r="C9" s="22">
        <f t="shared" si="8"/>
        <v>525.07788161993767</v>
      </c>
      <c r="D9" s="22"/>
      <c r="E9" s="22">
        <f t="shared" si="9"/>
        <v>525.07788161993767</v>
      </c>
      <c r="G9" s="15">
        <f t="shared" ref="G9:G41" si="27">G8</f>
        <v>40</v>
      </c>
      <c r="H9" s="15">
        <f t="shared" ref="H9:H41" si="28">H8</f>
        <v>40</v>
      </c>
      <c r="J9" s="22">
        <f t="shared" si="0"/>
        <v>21003.115264797507</v>
      </c>
      <c r="L9" s="54">
        <f t="shared" ref="L9:L41" si="29">+L8</f>
        <v>28</v>
      </c>
      <c r="M9" s="7">
        <f t="shared" si="10"/>
        <v>43.461545544527404</v>
      </c>
      <c r="N9" s="7">
        <f t="shared" si="11"/>
        <v>1216.9232752467674</v>
      </c>
      <c r="P9" s="15">
        <f t="shared" ref="P9:P41" si="30">+P8</f>
        <v>6</v>
      </c>
      <c r="Q9" s="7">
        <f t="shared" si="12"/>
        <v>10.257005195608038</v>
      </c>
      <c r="R9" s="7">
        <f t="shared" si="13"/>
        <v>61.542031173648226</v>
      </c>
      <c r="T9" s="15">
        <f t="shared" ref="T9:T41" si="31">+T8</f>
        <v>54</v>
      </c>
      <c r="U9" s="7">
        <f t="shared" si="14"/>
        <v>17.346405845513594</v>
      </c>
      <c r="V9" s="7">
        <f t="shared" si="15"/>
        <v>936.70591565773407</v>
      </c>
      <c r="X9" s="14">
        <f t="shared" ref="X9:X41" si="32">+X8</f>
        <v>2.2999999999999998</v>
      </c>
      <c r="Y9" s="7">
        <f t="shared" si="16"/>
        <v>43.310707232827284</v>
      </c>
      <c r="Z9" s="22">
        <f t="shared" si="17"/>
        <v>99.614626635502745</v>
      </c>
      <c r="AB9" s="7">
        <f t="shared" si="18"/>
        <v>26.625600000000002</v>
      </c>
      <c r="AC9" s="6">
        <f t="shared" si="1"/>
        <v>1065.0240000000001</v>
      </c>
      <c r="AE9" s="7">
        <f t="shared" ref="AE9:AE41" si="33">+AE8</f>
        <v>59.4</v>
      </c>
      <c r="AF9" s="7">
        <f t="shared" si="19"/>
        <v>37.275840000000002</v>
      </c>
      <c r="AG9" s="22">
        <f t="shared" si="20"/>
        <v>2214.1848960000002</v>
      </c>
      <c r="AI9" s="15">
        <f t="shared" ref="AI9:AI41" si="34">+AI8</f>
        <v>11</v>
      </c>
      <c r="AJ9" s="7">
        <f t="shared" si="21"/>
        <v>118.66760124610592</v>
      </c>
      <c r="AK9" s="7">
        <f t="shared" si="22"/>
        <v>315.04672897196258</v>
      </c>
      <c r="AL9" s="7">
        <f t="shared" ref="AL9:AL41" si="35">(+AI9*AJ9)+AK9</f>
        <v>1620.3903426791276</v>
      </c>
      <c r="AN9" s="7">
        <f t="shared" si="23"/>
        <v>42.600960000000001</v>
      </c>
      <c r="AO9" s="22">
        <f t="shared" si="2"/>
        <v>1704.0383999999999</v>
      </c>
      <c r="AQ9" s="7">
        <f t="shared" ref="AQ9:AQ41" si="36">+AQ8</f>
        <v>6</v>
      </c>
      <c r="AR9" s="7">
        <f t="shared" si="24"/>
        <v>213.30300671999998</v>
      </c>
      <c r="AS9" s="22">
        <f t="shared" ref="AS9:AS41" si="37">+AQ9*AR9</f>
        <v>1279.8180403199999</v>
      </c>
      <c r="AT9" s="7">
        <f t="shared" ref="AT9:AT41" si="38">+AT8</f>
        <v>19</v>
      </c>
      <c r="AU9" s="7">
        <f t="shared" si="25"/>
        <v>213.00479999999996</v>
      </c>
      <c r="AV9" s="22">
        <f t="shared" ref="AV9:AV41" si="39">+AT9*AU9</f>
        <v>4047.0911999999994</v>
      </c>
      <c r="AX9" s="7">
        <f t="shared" si="3"/>
        <v>212</v>
      </c>
      <c r="AY9" t="str">
        <f>IF(Oranges!$D$17&lt;0,(+N9+R9+V9+Z9+AC9+AG9+AL9+A9+AS9+AV9+AX9)*Oranges!$D$17/100,IF(Oranges!$D$17&gt;0,(+N9+R9+V9+Z9+AC9+AG9+AL9+A9+AS9+AV9+AX9)*Oranges!$D$17/100,""))</f>
        <v/>
      </c>
      <c r="BA9" s="22">
        <f t="shared" si="4"/>
        <v>14457.332727712779</v>
      </c>
      <c r="BC9" s="22"/>
      <c r="BD9" s="21">
        <f t="shared" si="5"/>
        <v>6545.7825370847277</v>
      </c>
      <c r="BF9" s="51">
        <f t="shared" si="6"/>
        <v>26.442468444276411</v>
      </c>
      <c r="BG9" s="141">
        <f t="shared" si="26"/>
        <v>26.442468444276411</v>
      </c>
      <c r="BI9" s="7">
        <v>134.84</v>
      </c>
      <c r="BJ9" s="7">
        <f t="shared" ref="BJ9:BK24" si="40">+BJ8+(BJ8*0.032)</f>
        <v>151.0204032</v>
      </c>
      <c r="BK9" s="7">
        <f t="shared" si="40"/>
        <v>133.39425600000001</v>
      </c>
      <c r="BL9" s="7">
        <v>100.24906839716456</v>
      </c>
    </row>
    <row r="10" spans="1:64" x14ac:dyDescent="0.2">
      <c r="A10" s="8">
        <f t="shared" si="7"/>
        <v>2024</v>
      </c>
      <c r="B10" s="22">
        <f>+B9*0.99</f>
        <v>1043.6888880000001</v>
      </c>
      <c r="C10" s="22">
        <f t="shared" si="8"/>
        <v>538.20093457943926</v>
      </c>
      <c r="D10" s="22"/>
      <c r="E10" s="22">
        <f t="shared" si="9"/>
        <v>538.20093457943926</v>
      </c>
      <c r="G10" s="15">
        <f t="shared" si="27"/>
        <v>40</v>
      </c>
      <c r="H10" s="15">
        <f t="shared" si="28"/>
        <v>40</v>
      </c>
      <c r="J10" s="20">
        <f t="shared" si="0"/>
        <v>21528.037383177572</v>
      </c>
      <c r="L10" s="54">
        <f t="shared" si="29"/>
        <v>28</v>
      </c>
      <c r="M10" s="7">
        <f t="shared" si="10"/>
        <v>44.763471134777937</v>
      </c>
      <c r="N10" s="7">
        <f t="shared" si="11"/>
        <v>1253.3771917737822</v>
      </c>
      <c r="P10" s="15">
        <f t="shared" si="30"/>
        <v>6</v>
      </c>
      <c r="Q10" s="7">
        <f t="shared" si="12"/>
        <v>10.564262044764805</v>
      </c>
      <c r="R10" s="7">
        <f t="shared" si="13"/>
        <v>63.385572268588831</v>
      </c>
      <c r="T10" s="15">
        <f t="shared" si="31"/>
        <v>54</v>
      </c>
      <c r="U10" s="7">
        <f t="shared" si="14"/>
        <v>17.866031399234597</v>
      </c>
      <c r="V10" s="7">
        <f t="shared" si="15"/>
        <v>964.7656955586682</v>
      </c>
      <c r="X10" s="14">
        <f t="shared" si="32"/>
        <v>2.2999999999999998</v>
      </c>
      <c r="Y10" s="7">
        <f t="shared" si="16"/>
        <v>44.608114340001983</v>
      </c>
      <c r="Z10" s="22">
        <f t="shared" si="17"/>
        <v>102.59866298200456</v>
      </c>
      <c r="AB10" s="7">
        <f t="shared" si="18"/>
        <v>27.477619200000003</v>
      </c>
      <c r="AC10" s="6">
        <f t="shared" si="1"/>
        <v>1099.1047680000001</v>
      </c>
      <c r="AE10" s="7">
        <f t="shared" si="33"/>
        <v>59.4</v>
      </c>
      <c r="AF10" s="7">
        <f t="shared" si="19"/>
        <v>38.468666880000001</v>
      </c>
      <c r="AG10" s="22">
        <f t="shared" si="20"/>
        <v>2285.0388126719999</v>
      </c>
      <c r="AI10" s="15">
        <f t="shared" si="34"/>
        <v>11</v>
      </c>
      <c r="AJ10" s="7">
        <f t="shared" si="21"/>
        <v>121.63341121495328</v>
      </c>
      <c r="AK10" s="7">
        <f t="shared" si="22"/>
        <v>322.9205607476635</v>
      </c>
      <c r="AL10" s="7">
        <f t="shared" si="35"/>
        <v>1660.8880841121497</v>
      </c>
      <c r="AN10" s="7">
        <f t="shared" si="23"/>
        <v>43.964190720000005</v>
      </c>
      <c r="AO10" s="22">
        <f t="shared" si="2"/>
        <v>1758.5676288000002</v>
      </c>
      <c r="AQ10" s="7">
        <f t="shared" si="36"/>
        <v>6</v>
      </c>
      <c r="AR10" s="7">
        <f t="shared" si="24"/>
        <v>220.12870293504</v>
      </c>
      <c r="AS10" s="22">
        <f t="shared" si="37"/>
        <v>1320.77221761024</v>
      </c>
      <c r="AT10" s="7">
        <f t="shared" si="38"/>
        <v>19</v>
      </c>
      <c r="AU10" s="7">
        <f t="shared" si="25"/>
        <v>219.8209536</v>
      </c>
      <c r="AV10" s="22">
        <f t="shared" si="39"/>
        <v>4176.5981184000002</v>
      </c>
      <c r="AX10" s="7">
        <f t="shared" si="3"/>
        <v>212</v>
      </c>
      <c r="AY10" t="str">
        <f>IF(Oranges!$D$17&lt;0,(+N10+R10+V10+Z10+AC10+AG10+AL10+A10+AS10+AV10+AX10)*Oranges!$D$17/100,IF(Oranges!$D$17&gt;0,(+N10+R10+V10+Z10+AC10+AG10+AL10+A10+AS10+AV10+AX10)*Oranges!$D$17/100,""))</f>
        <v/>
      </c>
      <c r="BA10" s="22">
        <f t="shared" si="4"/>
        <v>14897.096752177433</v>
      </c>
      <c r="BC10" s="22"/>
      <c r="BD10" s="22">
        <f t="shared" si="5"/>
        <v>6630.9406310001395</v>
      </c>
      <c r="BF10" s="51">
        <f t="shared" si="6"/>
        <v>26.601472020293009</v>
      </c>
      <c r="BG10" s="141">
        <f t="shared" si="26"/>
        <v>26.601472020293009</v>
      </c>
      <c r="BI10" s="7">
        <v>138.21</v>
      </c>
      <c r="BJ10" s="7">
        <f t="shared" si="40"/>
        <v>155.85305610240002</v>
      </c>
      <c r="BK10" s="7">
        <f t="shared" si="40"/>
        <v>137.66287219200001</v>
      </c>
      <c r="BL10" s="7">
        <v>103.25210995746359</v>
      </c>
    </row>
    <row r="11" spans="1:64" x14ac:dyDescent="0.2">
      <c r="A11" s="8">
        <f t="shared" si="7"/>
        <v>2025</v>
      </c>
      <c r="B11" s="22">
        <f t="shared" ref="B11:B12" si="41">+B10*0.99</f>
        <v>1033.2519991200002</v>
      </c>
      <c r="C11" s="22">
        <f t="shared" si="8"/>
        <v>555.42336448598132</v>
      </c>
      <c r="D11" s="22"/>
      <c r="E11" s="22">
        <f t="shared" si="9"/>
        <v>555.42336448598132</v>
      </c>
      <c r="G11" s="15">
        <f t="shared" si="27"/>
        <v>40</v>
      </c>
      <c r="H11" s="15">
        <f t="shared" si="28"/>
        <v>40</v>
      </c>
      <c r="J11" s="22">
        <f t="shared" si="0"/>
        <v>22216.934579439254</v>
      </c>
      <c r="L11" s="54">
        <f t="shared" si="29"/>
        <v>28</v>
      </c>
      <c r="M11" s="7">
        <f t="shared" si="10"/>
        <v>45.889290980212017</v>
      </c>
      <c r="N11" s="7">
        <f t="shared" si="11"/>
        <v>1284.9001474459365</v>
      </c>
      <c r="P11" s="15">
        <f t="shared" si="30"/>
        <v>6</v>
      </c>
      <c r="Q11" s="7">
        <f t="shared" si="12"/>
        <v>10.829957612174049</v>
      </c>
      <c r="R11" s="7">
        <f t="shared" si="13"/>
        <v>64.979745673044292</v>
      </c>
      <c r="T11" s="15">
        <f t="shared" si="31"/>
        <v>54</v>
      </c>
      <c r="U11" s="7">
        <f t="shared" si="14"/>
        <v>18.315369491176703</v>
      </c>
      <c r="V11" s="7">
        <f t="shared" si="15"/>
        <v>989.02995252354197</v>
      </c>
      <c r="X11" s="14">
        <f t="shared" si="32"/>
        <v>2.2999999999999998</v>
      </c>
      <c r="Y11" s="7">
        <f t="shared" si="16"/>
        <v>45.730026897680041</v>
      </c>
      <c r="Z11" s="22">
        <f t="shared" si="17"/>
        <v>105.17906186466409</v>
      </c>
      <c r="AB11" s="7">
        <f t="shared" si="18"/>
        <v>28.356903014400004</v>
      </c>
      <c r="AC11" s="6">
        <f t="shared" si="1"/>
        <v>1134.2761205760003</v>
      </c>
      <c r="AE11" s="7">
        <f t="shared" si="33"/>
        <v>59.4</v>
      </c>
      <c r="AF11" s="7">
        <f t="shared" si="19"/>
        <v>39.699664220160003</v>
      </c>
      <c r="AG11" s="22">
        <f t="shared" si="20"/>
        <v>2358.1600546775039</v>
      </c>
      <c r="AI11" s="15">
        <f t="shared" si="34"/>
        <v>11</v>
      </c>
      <c r="AJ11" s="7">
        <f t="shared" si="21"/>
        <v>125.52568037383178</v>
      </c>
      <c r="AK11" s="7">
        <f t="shared" si="22"/>
        <v>333.25401869158873</v>
      </c>
      <c r="AL11" s="7">
        <f t="shared" si="35"/>
        <v>1714.0365028037384</v>
      </c>
      <c r="AN11" s="7">
        <f t="shared" si="23"/>
        <v>45.371044823040002</v>
      </c>
      <c r="AO11" s="22">
        <f t="shared" si="2"/>
        <v>1814.8417929216</v>
      </c>
      <c r="AQ11" s="7">
        <f t="shared" si="36"/>
        <v>6</v>
      </c>
      <c r="AR11" s="7">
        <f t="shared" si="24"/>
        <v>227.17282142896127</v>
      </c>
      <c r="AS11" s="22">
        <f t="shared" si="37"/>
        <v>1363.0369285737677</v>
      </c>
      <c r="AT11" s="7">
        <f t="shared" si="38"/>
        <v>19</v>
      </c>
      <c r="AU11" s="7">
        <f t="shared" si="25"/>
        <v>226.85522411519997</v>
      </c>
      <c r="AV11" s="22">
        <f t="shared" si="39"/>
        <v>4310.2492581887991</v>
      </c>
      <c r="AX11" s="7">
        <f t="shared" si="3"/>
        <v>212</v>
      </c>
      <c r="AY11" t="str">
        <f>IF(Oranges!$D$17&lt;0,(+N11+R11+V11+Z11+AC11+AG11+AL11+A11+AS11+AV11+AX11)*Oranges!$D$17/100,IF(Oranges!$D$17&gt;0,(+N11+R11+V11+Z11+AC11+AG11+AL11+A11+AS11+AV11+AX11)*Oranges!$D$17/100,""))</f>
        <v/>
      </c>
      <c r="BA11" s="22">
        <f t="shared" si="4"/>
        <v>15350.689565248595</v>
      </c>
      <c r="BC11" s="22"/>
      <c r="BD11" s="21">
        <f t="shared" si="5"/>
        <v>6866.2450141906593</v>
      </c>
      <c r="BF11" s="51">
        <f t="shared" si="6"/>
        <v>26.570488673424524</v>
      </c>
      <c r="BG11" s="141">
        <f t="shared" si="26"/>
        <v>26.570488673424524</v>
      </c>
      <c r="BI11" s="7">
        <f t="shared" ref="BI11:BK26" si="42">+BI10+(BI10*0.032)</f>
        <v>142.63272000000001</v>
      </c>
      <c r="BJ11" s="7">
        <f t="shared" si="40"/>
        <v>160.84035389767681</v>
      </c>
      <c r="BK11" s="7">
        <f t="shared" si="40"/>
        <v>142.06808410214401</v>
      </c>
      <c r="BL11" s="7">
        <v>105.84894330229197</v>
      </c>
    </row>
    <row r="12" spans="1:64" x14ac:dyDescent="0.2">
      <c r="A12" s="8">
        <f t="shared" si="7"/>
        <v>2026</v>
      </c>
      <c r="B12" s="22">
        <f t="shared" si="41"/>
        <v>1022.9194791288002</v>
      </c>
      <c r="C12" s="22">
        <f t="shared" si="8"/>
        <v>573.19691214953264</v>
      </c>
      <c r="D12" s="22"/>
      <c r="E12" s="22">
        <f t="shared" si="9"/>
        <v>573.19691214953264</v>
      </c>
      <c r="G12" s="15">
        <f t="shared" si="27"/>
        <v>40</v>
      </c>
      <c r="H12" s="15">
        <f t="shared" si="28"/>
        <v>40</v>
      </c>
      <c r="J12" s="22">
        <f t="shared" si="0"/>
        <v>22927.876485981305</v>
      </c>
      <c r="L12" s="54">
        <f t="shared" si="29"/>
        <v>28</v>
      </c>
      <c r="M12" s="7">
        <f t="shared" si="10"/>
        <v>47.818990565038142</v>
      </c>
      <c r="N12" s="7">
        <f t="shared" si="11"/>
        <v>1338.9317358210681</v>
      </c>
      <c r="P12" s="15">
        <f t="shared" si="30"/>
        <v>6</v>
      </c>
      <c r="Q12" s="7">
        <f t="shared" si="12"/>
        <v>11.285370286057125</v>
      </c>
      <c r="R12" s="7">
        <f t="shared" si="13"/>
        <v>67.712221716342754</v>
      </c>
      <c r="T12" s="15">
        <f t="shared" si="31"/>
        <v>54</v>
      </c>
      <c r="U12" s="7">
        <f t="shared" si="14"/>
        <v>19.085552689655433</v>
      </c>
      <c r="V12" s="7">
        <f t="shared" si="15"/>
        <v>1030.6198452413935</v>
      </c>
      <c r="X12" s="14">
        <f t="shared" si="32"/>
        <v>2.2999999999999998</v>
      </c>
      <c r="Y12" s="7">
        <f t="shared" si="16"/>
        <v>47.653029237302007</v>
      </c>
      <c r="Z12" s="22">
        <f t="shared" si="17"/>
        <v>109.60196724579461</v>
      </c>
      <c r="AB12" s="7">
        <f t="shared" si="18"/>
        <v>29.264323910860806</v>
      </c>
      <c r="AC12" s="6">
        <f t="shared" si="1"/>
        <v>1170.5729564344322</v>
      </c>
      <c r="AE12" s="7">
        <f t="shared" si="33"/>
        <v>59.4</v>
      </c>
      <c r="AF12" s="7">
        <f t="shared" si="19"/>
        <v>40.970053475205127</v>
      </c>
      <c r="AG12" s="22">
        <f t="shared" si="20"/>
        <v>2433.6211764271843</v>
      </c>
      <c r="AI12" s="15">
        <f t="shared" si="34"/>
        <v>11</v>
      </c>
      <c r="AJ12" s="7">
        <f t="shared" si="21"/>
        <v>129.5425021457944</v>
      </c>
      <c r="AK12" s="7">
        <f t="shared" si="22"/>
        <v>343.91814728971957</v>
      </c>
      <c r="AL12" s="7">
        <f t="shared" si="35"/>
        <v>1768.8856708934579</v>
      </c>
      <c r="AN12" s="7">
        <f t="shared" si="23"/>
        <v>46.822918257377282</v>
      </c>
      <c r="AO12" s="22">
        <f t="shared" si="2"/>
        <v>1872.9167302950914</v>
      </c>
      <c r="AQ12" s="7">
        <f t="shared" si="36"/>
        <v>6</v>
      </c>
      <c r="AR12" s="7">
        <f t="shared" si="24"/>
        <v>234.44235171468802</v>
      </c>
      <c r="AS12" s="22">
        <f t="shared" si="37"/>
        <v>1406.6541102881281</v>
      </c>
      <c r="AT12" s="7">
        <f t="shared" si="38"/>
        <v>19</v>
      </c>
      <c r="AU12" s="7">
        <f t="shared" si="25"/>
        <v>234.11459128688637</v>
      </c>
      <c r="AV12" s="22">
        <f t="shared" si="39"/>
        <v>4448.1772344508408</v>
      </c>
      <c r="AX12" s="7">
        <f t="shared" si="3"/>
        <v>212</v>
      </c>
      <c r="AY12" t="str">
        <f>IF(Oranges!$D$17&lt;0,(+N12+R12+V12+Z12+AC12+AG12+AL12+A12+AS12+AV12+AX12)*Oranges!$D$17/100,IF(Oranges!$D$17&gt;0,(+N12+R12+V12+Z12+AC12+AG12+AL12+A12+AS12+AV12+AX12)*Oranges!$D$17/100,""))</f>
        <v/>
      </c>
      <c r="BA12" s="22">
        <f t="shared" si="4"/>
        <v>15859.693648813734</v>
      </c>
      <c r="BC12" s="22"/>
      <c r="BD12" s="21">
        <f t="shared" si="5"/>
        <v>7068.1828371675711</v>
      </c>
      <c r="BF12" s="51">
        <f t="shared" si="6"/>
        <v>26.615652390415139</v>
      </c>
      <c r="BG12" s="141">
        <f t="shared" si="26"/>
        <v>26.615652390415139</v>
      </c>
      <c r="BI12" s="7">
        <f t="shared" si="42"/>
        <v>147.19696704</v>
      </c>
      <c r="BJ12" s="7">
        <f t="shared" si="40"/>
        <v>165.98724522240246</v>
      </c>
      <c r="BK12" s="7">
        <f t="shared" si="40"/>
        <v>146.61426279341262</v>
      </c>
      <c r="BL12" s="7">
        <v>110.30001799927945</v>
      </c>
    </row>
    <row r="13" spans="1:64" x14ac:dyDescent="0.2">
      <c r="A13" s="8">
        <f t="shared" si="7"/>
        <v>2027</v>
      </c>
      <c r="B13" s="22">
        <f>+B12</f>
        <v>1022.9194791288002</v>
      </c>
      <c r="C13" s="22">
        <f t="shared" si="8"/>
        <v>591.53921333831772</v>
      </c>
      <c r="D13" s="22"/>
      <c r="E13" s="22">
        <f t="shared" si="9"/>
        <v>591.53921333831772</v>
      </c>
      <c r="G13" s="15">
        <f t="shared" si="27"/>
        <v>40</v>
      </c>
      <c r="H13" s="15">
        <f t="shared" si="28"/>
        <v>40</v>
      </c>
      <c r="J13" s="20">
        <f t="shared" si="0"/>
        <v>23661.568533532707</v>
      </c>
      <c r="L13" s="54">
        <f t="shared" si="29"/>
        <v>28</v>
      </c>
      <c r="M13" s="7">
        <f t="shared" si="10"/>
        <v>49.829399293359195</v>
      </c>
      <c r="N13" s="7">
        <f t="shared" si="11"/>
        <v>1395.2231802140575</v>
      </c>
      <c r="P13" s="15">
        <f t="shared" si="30"/>
        <v>6</v>
      </c>
      <c r="Q13" s="7">
        <f t="shared" si="12"/>
        <v>11.759830467197217</v>
      </c>
      <c r="R13" s="7">
        <f t="shared" si="13"/>
        <v>70.558982803183298</v>
      </c>
      <c r="T13" s="15">
        <f t="shared" si="31"/>
        <v>54</v>
      </c>
      <c r="U13" s="7">
        <f t="shared" si="14"/>
        <v>19.887948584230585</v>
      </c>
      <c r="V13" s="7">
        <f t="shared" si="15"/>
        <v>1073.9492235484515</v>
      </c>
      <c r="X13" s="14">
        <f t="shared" si="32"/>
        <v>2.2999999999999998</v>
      </c>
      <c r="Y13" s="7">
        <f t="shared" si="16"/>
        <v>49.656460610018058</v>
      </c>
      <c r="Z13" s="22">
        <f t="shared" si="17"/>
        <v>114.20985940304152</v>
      </c>
      <c r="AB13" s="7">
        <f t="shared" si="18"/>
        <v>30.200782276008354</v>
      </c>
      <c r="AC13" s="6">
        <f t="shared" si="1"/>
        <v>1208.0312910403341</v>
      </c>
      <c r="AE13" s="7">
        <f t="shared" si="33"/>
        <v>59.4</v>
      </c>
      <c r="AF13" s="7">
        <f t="shared" si="19"/>
        <v>42.28109518641169</v>
      </c>
      <c r="AG13" s="22">
        <f t="shared" si="20"/>
        <v>2511.4970540728546</v>
      </c>
      <c r="AI13" s="15">
        <f t="shared" si="34"/>
        <v>11</v>
      </c>
      <c r="AJ13" s="7">
        <f t="shared" si="21"/>
        <v>133.68786221445981</v>
      </c>
      <c r="AK13" s="7">
        <f t="shared" si="22"/>
        <v>354.92352800299062</v>
      </c>
      <c r="AL13" s="7">
        <f t="shared" si="35"/>
        <v>1825.4900123620487</v>
      </c>
      <c r="AN13" s="7">
        <f t="shared" si="23"/>
        <v>48.321251641613351</v>
      </c>
      <c r="AO13" s="22">
        <f t="shared" si="2"/>
        <v>1932.850065664534</v>
      </c>
      <c r="AQ13" s="7">
        <f t="shared" si="36"/>
        <v>6</v>
      </c>
      <c r="AR13" s="7">
        <f t="shared" si="24"/>
        <v>241.94450696955806</v>
      </c>
      <c r="AS13" s="22">
        <f t="shared" si="37"/>
        <v>1451.6670418173485</v>
      </c>
      <c r="AT13" s="7">
        <f t="shared" si="38"/>
        <v>19</v>
      </c>
      <c r="AU13" s="7">
        <f t="shared" si="25"/>
        <v>241.60625820806675</v>
      </c>
      <c r="AV13" s="22">
        <f t="shared" si="39"/>
        <v>4590.5189059532686</v>
      </c>
      <c r="AX13" s="7">
        <f t="shared" si="3"/>
        <v>212</v>
      </c>
      <c r="AY13" t="str">
        <f>IF(Oranges!$D$17&lt;0,(+N13+R13+V13+Z13+AC13+AG13+AL13+A13+AS13+AV13+AX13)*Oranges!$D$17/100,IF(Oranges!$D$17&gt;0,(+N13+R13+V13+Z13+AC13+AG13+AL13+A13+AS13+AV13+AX13)*Oranges!$D$17/100,""))</f>
        <v/>
      </c>
      <c r="BA13" s="22">
        <f t="shared" si="4"/>
        <v>16385.995616879121</v>
      </c>
      <c r="BC13" s="22"/>
      <c r="BD13" s="22">
        <f t="shared" si="5"/>
        <v>7275.5729166535857</v>
      </c>
      <c r="BF13" s="51">
        <f t="shared" si="6"/>
        <v>26.661214514595642</v>
      </c>
      <c r="BG13" s="141">
        <f t="shared" si="26"/>
        <v>26.661214514595642</v>
      </c>
      <c r="BI13" s="7">
        <f t="shared" si="42"/>
        <v>151.90726998528001</v>
      </c>
      <c r="BJ13" s="7">
        <f t="shared" si="40"/>
        <v>171.29883706951935</v>
      </c>
      <c r="BK13" s="7">
        <f t="shared" si="40"/>
        <v>151.30591920280182</v>
      </c>
      <c r="BL13" s="7">
        <v>114.93725764611229</v>
      </c>
    </row>
    <row r="14" spans="1:64" x14ac:dyDescent="0.2">
      <c r="A14" s="8">
        <f t="shared" si="7"/>
        <v>2028</v>
      </c>
      <c r="B14" s="22">
        <f t="shared" ref="B14:B41" si="43">+B13</f>
        <v>1022.9194791288002</v>
      </c>
      <c r="C14" s="22">
        <f t="shared" si="8"/>
        <v>610.4684681651438</v>
      </c>
      <c r="D14" s="22"/>
      <c r="E14" s="22">
        <f t="shared" si="9"/>
        <v>610.4684681651438</v>
      </c>
      <c r="G14" s="15">
        <f t="shared" si="27"/>
        <v>40</v>
      </c>
      <c r="H14" s="15">
        <f t="shared" si="28"/>
        <v>40</v>
      </c>
      <c r="J14" s="22">
        <f t="shared" si="0"/>
        <v>24418.738726605752</v>
      </c>
      <c r="L14" s="54">
        <f t="shared" si="29"/>
        <v>28</v>
      </c>
      <c r="M14" s="7">
        <f t="shared" si="10"/>
        <v>51.745479040061468</v>
      </c>
      <c r="N14" s="7">
        <f t="shared" si="11"/>
        <v>1448.8734131217211</v>
      </c>
      <c r="P14" s="15">
        <f t="shared" si="30"/>
        <v>6</v>
      </c>
      <c r="Q14" s="7">
        <f t="shared" si="12"/>
        <v>12.212028834072811</v>
      </c>
      <c r="R14" s="7">
        <f t="shared" si="13"/>
        <v>73.272173004436866</v>
      </c>
      <c r="T14" s="15">
        <f t="shared" si="31"/>
        <v>54</v>
      </c>
      <c r="U14" s="7">
        <f t="shared" si="14"/>
        <v>20.652695822329019</v>
      </c>
      <c r="V14" s="7">
        <f t="shared" si="15"/>
        <v>1115.245574405767</v>
      </c>
      <c r="X14" s="14">
        <f t="shared" si="32"/>
        <v>2.2999999999999998</v>
      </c>
      <c r="Y14" s="7">
        <f t="shared" si="16"/>
        <v>51.565890380736867</v>
      </c>
      <c r="Z14" s="22">
        <f t="shared" si="17"/>
        <v>118.60154787569479</v>
      </c>
      <c r="AB14" s="7">
        <f t="shared" si="18"/>
        <v>31.167207308840624</v>
      </c>
      <c r="AC14" s="6">
        <f t="shared" si="1"/>
        <v>1246.688292353625</v>
      </c>
      <c r="AE14" s="7">
        <f t="shared" si="33"/>
        <v>59.4</v>
      </c>
      <c r="AF14" s="7">
        <f t="shared" si="19"/>
        <v>43.634090232376863</v>
      </c>
      <c r="AG14" s="22">
        <f t="shared" si="20"/>
        <v>2591.8649598031857</v>
      </c>
      <c r="AI14" s="15">
        <f t="shared" si="34"/>
        <v>11</v>
      </c>
      <c r="AJ14" s="7">
        <f t="shared" si="21"/>
        <v>137.96587380532253</v>
      </c>
      <c r="AK14" s="7">
        <f t="shared" si="22"/>
        <v>366.28108089908631</v>
      </c>
      <c r="AL14" s="7">
        <f t="shared" si="35"/>
        <v>1883.9056927576339</v>
      </c>
      <c r="AN14" s="7">
        <f t="shared" si="23"/>
        <v>49.867531694144979</v>
      </c>
      <c r="AO14" s="22">
        <f t="shared" si="2"/>
        <v>1994.7012677657992</v>
      </c>
      <c r="AQ14" s="7">
        <f t="shared" si="36"/>
        <v>6</v>
      </c>
      <c r="AR14" s="7">
        <f t="shared" si="24"/>
        <v>249.68673119258392</v>
      </c>
      <c r="AS14" s="22">
        <f t="shared" si="37"/>
        <v>1498.1203871555035</v>
      </c>
      <c r="AT14" s="7">
        <f t="shared" si="38"/>
        <v>19</v>
      </c>
      <c r="AU14" s="7">
        <f t="shared" si="25"/>
        <v>249.33765847072488</v>
      </c>
      <c r="AV14" s="22">
        <f t="shared" si="39"/>
        <v>4737.4155109437725</v>
      </c>
      <c r="AX14" s="7">
        <f t="shared" si="3"/>
        <v>212</v>
      </c>
      <c r="AY14" t="str">
        <f>IF(Oranges!$D$17&lt;0,(+N14+R14+V14+Z14+AC14+AG14+AL14+A14+AS14+AV14+AX14)*Oranges!$D$17/100,IF(Oranges!$D$17&gt;0,(+N14+R14+V14+Z14+AC14+AG14+AL14+A14+AS14+AV14+AX14)*Oranges!$D$17/100,""))</f>
        <v/>
      </c>
      <c r="BA14" s="22">
        <f t="shared" si="4"/>
        <v>16920.68881918714</v>
      </c>
      <c r="BC14" s="22"/>
      <c r="BD14" s="21">
        <f t="shared" si="5"/>
        <v>7498.0499074186118</v>
      </c>
      <c r="BF14" s="51">
        <f t="shared" si="6"/>
        <v>26.690776581390683</v>
      </c>
      <c r="BG14" s="141">
        <f t="shared" si="26"/>
        <v>26.690776581390683</v>
      </c>
      <c r="BI14" s="7">
        <f t="shared" si="42"/>
        <v>156.76830262480897</v>
      </c>
      <c r="BJ14" s="7">
        <f t="shared" si="40"/>
        <v>176.78039985574398</v>
      </c>
      <c r="BK14" s="7">
        <f t="shared" si="40"/>
        <v>156.14770861729147</v>
      </c>
      <c r="BL14" s="7">
        <v>119.35691661532179</v>
      </c>
    </row>
    <row r="15" spans="1:64" x14ac:dyDescent="0.2">
      <c r="A15" s="8">
        <f t="shared" si="7"/>
        <v>2029</v>
      </c>
      <c r="B15" s="22">
        <f t="shared" si="43"/>
        <v>1022.9194791288002</v>
      </c>
      <c r="C15" s="22">
        <f t="shared" si="8"/>
        <v>630.00345914642844</v>
      </c>
      <c r="D15" s="22"/>
      <c r="E15" s="22">
        <f t="shared" si="9"/>
        <v>630.00345914642844</v>
      </c>
      <c r="G15" s="15">
        <f t="shared" si="27"/>
        <v>40</v>
      </c>
      <c r="H15" s="15">
        <f t="shared" si="28"/>
        <v>40</v>
      </c>
      <c r="J15" s="22">
        <f t="shared" si="0"/>
        <v>25200.138365857136</v>
      </c>
      <c r="L15" s="54">
        <f t="shared" si="29"/>
        <v>28</v>
      </c>
      <c r="M15" s="7">
        <f t="shared" si="10"/>
        <v>52.748608720885031</v>
      </c>
      <c r="N15" s="7">
        <f t="shared" si="11"/>
        <v>1476.9610441847808</v>
      </c>
      <c r="P15" s="15">
        <f t="shared" si="30"/>
        <v>6</v>
      </c>
      <c r="Q15" s="7">
        <f t="shared" si="12"/>
        <v>12.448769295535104</v>
      </c>
      <c r="R15" s="7">
        <f t="shared" si="13"/>
        <v>74.692615773210633</v>
      </c>
      <c r="T15" s="15">
        <f t="shared" si="31"/>
        <v>54</v>
      </c>
      <c r="U15" s="7">
        <f t="shared" si="14"/>
        <v>21.053065720390247</v>
      </c>
      <c r="V15" s="7">
        <f t="shared" si="15"/>
        <v>1136.8655489010735</v>
      </c>
      <c r="X15" s="14">
        <f t="shared" si="32"/>
        <v>2.2999999999999998</v>
      </c>
      <c r="Y15" s="7">
        <f t="shared" si="16"/>
        <v>52.56553858418598</v>
      </c>
      <c r="Z15" s="22">
        <f t="shared" si="17"/>
        <v>120.90073874362774</v>
      </c>
      <c r="AB15" s="7">
        <f t="shared" si="18"/>
        <v>32.164557942723526</v>
      </c>
      <c r="AC15" s="6">
        <f t="shared" si="1"/>
        <v>1286.582317708941</v>
      </c>
      <c r="AE15" s="7">
        <f t="shared" si="33"/>
        <v>59.4</v>
      </c>
      <c r="AF15" s="7">
        <f t="shared" si="19"/>
        <v>45.030381119812922</v>
      </c>
      <c r="AG15" s="22">
        <f t="shared" si="20"/>
        <v>2674.8046385168877</v>
      </c>
      <c r="AI15" s="15">
        <f t="shared" si="34"/>
        <v>11</v>
      </c>
      <c r="AJ15" s="7">
        <f t="shared" si="21"/>
        <v>142.38078176709288</v>
      </c>
      <c r="AK15" s="7">
        <f t="shared" si="22"/>
        <v>378.00207548785704</v>
      </c>
      <c r="AL15" s="7">
        <f t="shared" si="35"/>
        <v>1944.1906749258787</v>
      </c>
      <c r="AN15" s="7">
        <f t="shared" si="23"/>
        <v>51.463292708357621</v>
      </c>
      <c r="AO15" s="22">
        <f t="shared" si="2"/>
        <v>2058.5317083343048</v>
      </c>
      <c r="AQ15" s="7">
        <f t="shared" si="36"/>
        <v>6</v>
      </c>
      <c r="AR15" s="7">
        <f t="shared" si="24"/>
        <v>257.67670659074662</v>
      </c>
      <c r="AS15" s="22">
        <f t="shared" si="37"/>
        <v>1546.0602395444798</v>
      </c>
      <c r="AT15" s="7">
        <f t="shared" si="38"/>
        <v>19</v>
      </c>
      <c r="AU15" s="7">
        <f t="shared" si="25"/>
        <v>257.3164635417881</v>
      </c>
      <c r="AV15" s="22">
        <f t="shared" si="39"/>
        <v>4889.0128072939742</v>
      </c>
      <c r="AX15" s="7">
        <f t="shared" si="3"/>
        <v>212</v>
      </c>
      <c r="AY15" t="str">
        <f>IF(Oranges!$D$17&lt;0,(+N15+R15+V15+Z15+AC15+AG15+AL15+A15+AS15+AV15+AX15)*Oranges!$D$17/100,IF(Oranges!$D$17&gt;0,(+N15+R15+V15+Z15+AC15+AG15+AL15+A15+AS15+AV15+AX15)*Oranges!$D$17/100,""))</f>
        <v/>
      </c>
      <c r="BA15" s="22">
        <f t="shared" si="4"/>
        <v>17420.60233392716</v>
      </c>
      <c r="BC15" s="22"/>
      <c r="BD15" s="22">
        <f t="shared" si="5"/>
        <v>7779.5360319299762</v>
      </c>
      <c r="BF15" s="51">
        <f t="shared" si="6"/>
        <v>26.63262625459868</v>
      </c>
      <c r="BG15" s="141">
        <f t="shared" si="26"/>
        <v>26.63262625459868</v>
      </c>
      <c r="BI15" s="7">
        <f t="shared" si="42"/>
        <v>161.78488830880286</v>
      </c>
      <c r="BJ15" s="7">
        <f t="shared" si="40"/>
        <v>182.43737265112779</v>
      </c>
      <c r="BK15" s="7">
        <f t="shared" si="40"/>
        <v>161.14443529304481</v>
      </c>
      <c r="BL15" s="7">
        <v>121.670750942292</v>
      </c>
    </row>
    <row r="16" spans="1:64" x14ac:dyDescent="0.2">
      <c r="A16" s="8">
        <f t="shared" si="7"/>
        <v>2030</v>
      </c>
      <c r="B16" s="22">
        <f t="shared" si="43"/>
        <v>1022.9194791288002</v>
      </c>
      <c r="C16" s="22">
        <f t="shared" si="8"/>
        <v>650.16356983911407</v>
      </c>
      <c r="D16" s="22"/>
      <c r="E16" s="22">
        <f t="shared" si="9"/>
        <v>650.16356983911407</v>
      </c>
      <c r="G16" s="15">
        <f t="shared" si="27"/>
        <v>40</v>
      </c>
      <c r="H16" s="15">
        <f t="shared" si="28"/>
        <v>40</v>
      </c>
      <c r="J16" s="20">
        <f t="shared" si="0"/>
        <v>26006.542793564564</v>
      </c>
      <c r="L16" s="54">
        <f t="shared" si="29"/>
        <v>28</v>
      </c>
      <c r="M16" s="7">
        <f t="shared" si="10"/>
        <v>53.754763161777994</v>
      </c>
      <c r="N16" s="7">
        <f t="shared" si="11"/>
        <v>1505.1333685297839</v>
      </c>
      <c r="P16" s="15">
        <f t="shared" si="30"/>
        <v>6</v>
      </c>
      <c r="Q16" s="7">
        <f t="shared" si="12"/>
        <v>12.686223605972593</v>
      </c>
      <c r="R16" s="7">
        <f t="shared" si="13"/>
        <v>76.117341635835558</v>
      </c>
      <c r="T16" s="15">
        <f t="shared" si="31"/>
        <v>54</v>
      </c>
      <c r="U16" s="7">
        <f t="shared" si="14"/>
        <v>21.454642863041883</v>
      </c>
      <c r="V16" s="7">
        <f t="shared" si="15"/>
        <v>1158.5507146042617</v>
      </c>
      <c r="X16" s="14">
        <f t="shared" si="32"/>
        <v>2.2999999999999998</v>
      </c>
      <c r="Y16" s="7">
        <f t="shared" si="16"/>
        <v>53.568201049925449</v>
      </c>
      <c r="Z16" s="22">
        <f t="shared" si="17"/>
        <v>123.20686241482852</v>
      </c>
      <c r="AB16" s="7">
        <f t="shared" si="18"/>
        <v>33.193823796890683</v>
      </c>
      <c r="AC16" s="6">
        <f t="shared" si="1"/>
        <v>1327.7529518756273</v>
      </c>
      <c r="AE16" s="7">
        <f t="shared" si="33"/>
        <v>59.4</v>
      </c>
      <c r="AF16" s="7">
        <f t="shared" si="19"/>
        <v>46.471353315646937</v>
      </c>
      <c r="AG16" s="22">
        <f t="shared" si="20"/>
        <v>2760.3983869494282</v>
      </c>
      <c r="AI16" s="15">
        <f t="shared" si="34"/>
        <v>11</v>
      </c>
      <c r="AJ16" s="7">
        <f t="shared" si="21"/>
        <v>146.93696678363983</v>
      </c>
      <c r="AK16" s="7">
        <f t="shared" si="22"/>
        <v>390.09814190346844</v>
      </c>
      <c r="AL16" s="7">
        <f t="shared" si="35"/>
        <v>2006.4047765235064</v>
      </c>
      <c r="AN16" s="7">
        <f t="shared" si="23"/>
        <v>53.110118075025063</v>
      </c>
      <c r="AO16" s="22">
        <f t="shared" si="2"/>
        <v>2124.4047230010024</v>
      </c>
      <c r="AQ16" s="7">
        <f t="shared" si="36"/>
        <v>6</v>
      </c>
      <c r="AR16" s="7">
        <f t="shared" si="24"/>
        <v>265.92236120165052</v>
      </c>
      <c r="AS16" s="22">
        <f t="shared" si="37"/>
        <v>1595.534167209903</v>
      </c>
      <c r="AT16" s="7">
        <f t="shared" si="38"/>
        <v>19</v>
      </c>
      <c r="AU16" s="7">
        <f t="shared" si="25"/>
        <v>265.5505903751253</v>
      </c>
      <c r="AV16" s="22">
        <f t="shared" si="39"/>
        <v>5045.4612171273802</v>
      </c>
      <c r="AX16" s="7">
        <f t="shared" si="3"/>
        <v>212</v>
      </c>
      <c r="AY16" t="str">
        <f>IF(Oranges!$D$17&lt;0,(+N16+R16+V16+Z16+AC16+AG16+AL16+A16+AS16+AV16+AX16)*Oranges!$D$17/100,IF(Oranges!$D$17&gt;0,(+N16+R16+V16+Z16+AC16+AG16+AL16+A16+AS16+AV16+AX16)*Oranges!$D$17/100,""))</f>
        <v/>
      </c>
      <c r="BA16" s="22">
        <f t="shared" si="4"/>
        <v>17934.964509871555</v>
      </c>
      <c r="BC16" s="22"/>
      <c r="BD16" s="21">
        <f t="shared" si="5"/>
        <v>8071.5782836930084</v>
      </c>
      <c r="BF16" s="51">
        <f t="shared" si="6"/>
        <v>26.573769075662089</v>
      </c>
      <c r="BG16" s="141">
        <f t="shared" si="26"/>
        <v>26.573769075662089</v>
      </c>
      <c r="BI16" s="7">
        <f t="shared" si="42"/>
        <v>166.96200473468454</v>
      </c>
      <c r="BJ16" s="7">
        <f t="shared" si="40"/>
        <v>188.27536857596388</v>
      </c>
      <c r="BK16" s="7">
        <f t="shared" si="40"/>
        <v>166.30105722242223</v>
      </c>
      <c r="BL16" s="7">
        <v>123.9915622272899</v>
      </c>
    </row>
    <row r="17" spans="1:64" x14ac:dyDescent="0.2">
      <c r="A17" s="8">
        <f t="shared" si="7"/>
        <v>2031</v>
      </c>
      <c r="B17" s="22">
        <f t="shared" si="43"/>
        <v>1022.9194791288002</v>
      </c>
      <c r="C17" s="22">
        <f t="shared" si="8"/>
        <v>670.96880407396566</v>
      </c>
      <c r="D17" s="22"/>
      <c r="E17" s="22">
        <f t="shared" si="9"/>
        <v>670.96880407396566</v>
      </c>
      <c r="G17" s="15">
        <f t="shared" si="27"/>
        <v>40</v>
      </c>
      <c r="H17" s="15">
        <f t="shared" si="28"/>
        <v>40</v>
      </c>
      <c r="J17" s="22">
        <f t="shared" si="0"/>
        <v>26838.752162958626</v>
      </c>
      <c r="L17" s="54">
        <f t="shared" si="29"/>
        <v>28</v>
      </c>
      <c r="M17" s="7">
        <f t="shared" si="10"/>
        <v>54.039653281811923</v>
      </c>
      <c r="N17" s="7">
        <f t="shared" si="11"/>
        <v>1513.1102918907338</v>
      </c>
      <c r="P17" s="15">
        <f t="shared" si="30"/>
        <v>6</v>
      </c>
      <c r="Q17" s="7">
        <f t="shared" si="12"/>
        <v>12.753458201630762</v>
      </c>
      <c r="R17" s="7">
        <f t="shared" si="13"/>
        <v>76.520749209784569</v>
      </c>
      <c r="T17" s="15">
        <f t="shared" si="31"/>
        <v>54</v>
      </c>
      <c r="U17" s="7">
        <f t="shared" si="14"/>
        <v>21.568348429228493</v>
      </c>
      <c r="V17" s="7">
        <f t="shared" si="15"/>
        <v>1164.6908151783387</v>
      </c>
      <c r="X17" s="14">
        <f t="shared" si="32"/>
        <v>2.2999999999999998</v>
      </c>
      <c r="Y17" s="7">
        <f t="shared" si="16"/>
        <v>53.852102425905578</v>
      </c>
      <c r="Z17" s="22">
        <f t="shared" si="17"/>
        <v>123.85983557958282</v>
      </c>
      <c r="AB17" s="7">
        <f t="shared" si="18"/>
        <v>34.256026158391187</v>
      </c>
      <c r="AC17" s="6">
        <f t="shared" si="1"/>
        <v>1370.2410463356475</v>
      </c>
      <c r="AE17" s="7">
        <f t="shared" si="33"/>
        <v>59.4</v>
      </c>
      <c r="AF17" s="7">
        <f t="shared" si="19"/>
        <v>47.958436621747637</v>
      </c>
      <c r="AG17" s="22">
        <f t="shared" si="20"/>
        <v>2848.7311353318096</v>
      </c>
      <c r="AI17" s="15">
        <f t="shared" si="34"/>
        <v>11</v>
      </c>
      <c r="AJ17" s="7">
        <f t="shared" si="21"/>
        <v>151.63894972071631</v>
      </c>
      <c r="AK17" s="7">
        <f t="shared" si="22"/>
        <v>402.58128244437938</v>
      </c>
      <c r="AL17" s="7">
        <f t="shared" si="35"/>
        <v>2070.6097293722587</v>
      </c>
      <c r="AN17" s="7">
        <f t="shared" si="23"/>
        <v>54.809641853425866</v>
      </c>
      <c r="AO17" s="22">
        <f t="shared" si="2"/>
        <v>2192.3856741370346</v>
      </c>
      <c r="AQ17" s="7">
        <f t="shared" si="36"/>
        <v>6</v>
      </c>
      <c r="AR17" s="7">
        <f t="shared" si="24"/>
        <v>274.43187676010331</v>
      </c>
      <c r="AS17" s="22">
        <f t="shared" si="37"/>
        <v>1646.59126056062</v>
      </c>
      <c r="AT17" s="7">
        <f t="shared" si="38"/>
        <v>19</v>
      </c>
      <c r="AU17" s="7">
        <f t="shared" si="25"/>
        <v>274.04820926712932</v>
      </c>
      <c r="AV17" s="22">
        <f t="shared" si="39"/>
        <v>5206.9159760754574</v>
      </c>
      <c r="AX17" s="7">
        <f t="shared" si="3"/>
        <v>212</v>
      </c>
      <c r="AY17" t="str">
        <f>IF(Oranges!$D$17&lt;0,(+N17+R17+V17+Z17+AC17+AG17+AL17+A17+AS17+AV17+AX17)*Oranges!$D$17/100,IF(Oranges!$D$17&gt;0,(+N17+R17+V17+Z17+AC17+AG17+AL17+A17+AS17+AV17+AX17)*Oranges!$D$17/100,""))</f>
        <v/>
      </c>
      <c r="BA17" s="22">
        <f t="shared" si="4"/>
        <v>18425.656513671267</v>
      </c>
      <c r="BC17" s="22"/>
      <c r="BD17" s="21">
        <f t="shared" si="5"/>
        <v>8413.0956492873593</v>
      </c>
      <c r="BF17" s="51">
        <f t="shared" si="6"/>
        <v>26.45371045085103</v>
      </c>
      <c r="BG17" s="141">
        <f t="shared" si="26"/>
        <v>26.45371045085103</v>
      </c>
      <c r="BI17" s="7">
        <f t="shared" si="42"/>
        <v>172.30478888619444</v>
      </c>
      <c r="BJ17" s="7">
        <f t="shared" si="40"/>
        <v>194.30018037039471</v>
      </c>
      <c r="BK17" s="7">
        <f t="shared" si="40"/>
        <v>171.62269105353974</v>
      </c>
      <c r="BL17" s="7">
        <v>124.64869415325184</v>
      </c>
    </row>
    <row r="18" spans="1:64" x14ac:dyDescent="0.2">
      <c r="A18" s="8">
        <f t="shared" si="7"/>
        <v>2032</v>
      </c>
      <c r="B18" s="22">
        <f t="shared" si="43"/>
        <v>1022.9194791288002</v>
      </c>
      <c r="C18" s="22">
        <f t="shared" si="8"/>
        <v>692.43980580433254</v>
      </c>
      <c r="D18" s="22"/>
      <c r="E18" s="22">
        <f t="shared" si="9"/>
        <v>692.43980580433254</v>
      </c>
      <c r="G18" s="15">
        <f t="shared" si="27"/>
        <v>40</v>
      </c>
      <c r="H18" s="15">
        <f t="shared" si="28"/>
        <v>40</v>
      </c>
      <c r="J18" s="22">
        <f t="shared" si="0"/>
        <v>27697.592232173301</v>
      </c>
      <c r="L18" s="54">
        <f t="shared" si="29"/>
        <v>28</v>
      </c>
      <c r="M18" s="7">
        <f t="shared" si="10"/>
        <v>54.23650455738202</v>
      </c>
      <c r="N18" s="7">
        <f t="shared" si="11"/>
        <v>1518.6221276066965</v>
      </c>
      <c r="P18" s="15">
        <f t="shared" si="30"/>
        <v>6</v>
      </c>
      <c r="Q18" s="7">
        <f t="shared" si="12"/>
        <v>12.799915467036014</v>
      </c>
      <c r="R18" s="7">
        <f t="shared" si="13"/>
        <v>76.799492802216079</v>
      </c>
      <c r="T18" s="15">
        <f t="shared" si="31"/>
        <v>54</v>
      </c>
      <c r="U18" s="7">
        <f t="shared" si="14"/>
        <v>21.646915863369728</v>
      </c>
      <c r="V18" s="7">
        <f t="shared" si="15"/>
        <v>1168.9334566219652</v>
      </c>
      <c r="X18" s="14">
        <f t="shared" si="32"/>
        <v>2.2999999999999998</v>
      </c>
      <c r="Y18" s="7">
        <f t="shared" si="16"/>
        <v>54.048270506396179</v>
      </c>
      <c r="Z18" s="22">
        <f t="shared" si="17"/>
        <v>124.3110221647112</v>
      </c>
      <c r="AB18" s="7">
        <f t="shared" si="18"/>
        <v>35.352218995459708</v>
      </c>
      <c r="AC18" s="6">
        <f t="shared" si="1"/>
        <v>1414.0887598183883</v>
      </c>
      <c r="AE18" s="7">
        <f t="shared" si="33"/>
        <v>59.4</v>
      </c>
      <c r="AF18" s="7">
        <f t="shared" si="19"/>
        <v>49.49310659364356</v>
      </c>
      <c r="AG18" s="22">
        <f t="shared" si="20"/>
        <v>2939.8905316624273</v>
      </c>
      <c r="AI18" s="15">
        <f t="shared" si="34"/>
        <v>11</v>
      </c>
      <c r="AJ18" s="7">
        <f t="shared" si="21"/>
        <v>156.49139611177921</v>
      </c>
      <c r="AK18" s="7">
        <f t="shared" si="22"/>
        <v>415.4638834825995</v>
      </c>
      <c r="AL18" s="7">
        <f t="shared" si="35"/>
        <v>2136.8692407121707</v>
      </c>
      <c r="AN18" s="7">
        <f t="shared" si="23"/>
        <v>56.563550392735493</v>
      </c>
      <c r="AO18" s="22">
        <f t="shared" si="2"/>
        <v>2262.5420157094195</v>
      </c>
      <c r="AQ18" s="7">
        <f t="shared" si="36"/>
        <v>6</v>
      </c>
      <c r="AR18" s="7">
        <f t="shared" si="24"/>
        <v>283.21369681642659</v>
      </c>
      <c r="AS18" s="22">
        <f t="shared" si="37"/>
        <v>1699.2821808985595</v>
      </c>
      <c r="AT18" s="7">
        <f t="shared" si="38"/>
        <v>19</v>
      </c>
      <c r="AU18" s="7">
        <f t="shared" si="25"/>
        <v>282.81775196367744</v>
      </c>
      <c r="AV18" s="22">
        <f t="shared" si="39"/>
        <v>5373.5372873098713</v>
      </c>
      <c r="AX18" s="7">
        <f t="shared" si="3"/>
        <v>212</v>
      </c>
      <c r="AY18" t="str">
        <f>IF(Oranges!$D$17&lt;0,(+N18+R18+V18+Z18+AC18+AG18+AL18+A18+AS18+AV18+AX18)*Oranges!$D$17/100,IF(Oranges!$D$17&gt;0,(+N18+R18+V18+Z18+AC18+AG18+AL18+A18+AS18+AV18+AX18)*Oranges!$D$17/100,""))</f>
        <v/>
      </c>
      <c r="BA18" s="22">
        <f t="shared" si="4"/>
        <v>18926.876115306426</v>
      </c>
      <c r="BC18" s="22"/>
      <c r="BD18" s="22">
        <f t="shared" si="5"/>
        <v>8770.7161168668754</v>
      </c>
      <c r="BF18" s="51">
        <f t="shared" si="6"/>
        <v>26.329499602189742</v>
      </c>
      <c r="BG18" s="141">
        <f t="shared" si="26"/>
        <v>26.329499602189742</v>
      </c>
      <c r="BI18" s="7">
        <f t="shared" si="42"/>
        <v>177.81854213055266</v>
      </c>
      <c r="BJ18" s="7">
        <f t="shared" si="40"/>
        <v>200.51778614224733</v>
      </c>
      <c r="BK18" s="7">
        <f t="shared" si="40"/>
        <v>177.11461716725302</v>
      </c>
      <c r="BL18" s="7">
        <v>125.10275432855042</v>
      </c>
    </row>
    <row r="19" spans="1:64" x14ac:dyDescent="0.2">
      <c r="A19" s="8">
        <f t="shared" si="7"/>
        <v>2033</v>
      </c>
      <c r="B19" s="22">
        <f t="shared" si="43"/>
        <v>1022.9194791288002</v>
      </c>
      <c r="C19" s="22">
        <f t="shared" si="8"/>
        <v>714.5978795900711</v>
      </c>
      <c r="D19" s="22"/>
      <c r="E19" s="22">
        <f t="shared" si="9"/>
        <v>714.5978795900711</v>
      </c>
      <c r="G19" s="15">
        <f t="shared" si="27"/>
        <v>40</v>
      </c>
      <c r="H19" s="15">
        <f t="shared" si="28"/>
        <v>40</v>
      </c>
      <c r="J19" s="20">
        <f t="shared" si="0"/>
        <v>28583.915183602843</v>
      </c>
      <c r="L19" s="54">
        <f t="shared" si="29"/>
        <v>28</v>
      </c>
      <c r="M19" s="7">
        <f t="shared" si="10"/>
        <v>54.080387429237177</v>
      </c>
      <c r="N19" s="7">
        <f t="shared" si="11"/>
        <v>1514.2508480186409</v>
      </c>
      <c r="P19" s="15">
        <f t="shared" si="30"/>
        <v>6</v>
      </c>
      <c r="Q19" s="7">
        <f t="shared" si="12"/>
        <v>12.763071535821823</v>
      </c>
      <c r="R19" s="7">
        <f t="shared" si="13"/>
        <v>76.578429214930935</v>
      </c>
      <c r="T19" s="15">
        <f t="shared" si="31"/>
        <v>54</v>
      </c>
      <c r="U19" s="7">
        <f t="shared" si="14"/>
        <v>21.584606273816316</v>
      </c>
      <c r="V19" s="7">
        <f t="shared" si="15"/>
        <v>1165.568738786081</v>
      </c>
      <c r="X19" s="14">
        <f t="shared" si="32"/>
        <v>2.2999999999999998</v>
      </c>
      <c r="Y19" s="7">
        <f t="shared" si="16"/>
        <v>53.892695200769197</v>
      </c>
      <c r="Z19" s="22">
        <f t="shared" si="17"/>
        <v>123.95319896176915</v>
      </c>
      <c r="AB19" s="7">
        <f t="shared" si="18"/>
        <v>36.483490003314422</v>
      </c>
      <c r="AC19" s="6">
        <f t="shared" si="1"/>
        <v>1459.3396001325768</v>
      </c>
      <c r="AE19" s="7">
        <f t="shared" si="33"/>
        <v>59.4</v>
      </c>
      <c r="AF19" s="7">
        <f t="shared" si="19"/>
        <v>51.076886004640158</v>
      </c>
      <c r="AG19" s="22">
        <f t="shared" si="20"/>
        <v>3033.9670286756254</v>
      </c>
      <c r="AI19" s="15">
        <f t="shared" si="34"/>
        <v>11</v>
      </c>
      <c r="AJ19" s="7">
        <f t="shared" si="21"/>
        <v>161.49912078735613</v>
      </c>
      <c r="AK19" s="7">
        <f t="shared" si="22"/>
        <v>428.7587277540427</v>
      </c>
      <c r="AL19" s="7">
        <f t="shared" si="35"/>
        <v>2205.2490564149603</v>
      </c>
      <c r="AN19" s="7">
        <f t="shared" si="23"/>
        <v>58.37358400530303</v>
      </c>
      <c r="AO19" s="22">
        <f t="shared" si="2"/>
        <v>2334.9433602121212</v>
      </c>
      <c r="AQ19" s="7">
        <f t="shared" si="36"/>
        <v>6</v>
      </c>
      <c r="AR19" s="7">
        <f t="shared" si="24"/>
        <v>292.27653511455219</v>
      </c>
      <c r="AS19" s="22">
        <f t="shared" si="37"/>
        <v>1753.6592106873131</v>
      </c>
      <c r="AT19" s="7">
        <f t="shared" si="38"/>
        <v>19</v>
      </c>
      <c r="AU19" s="7">
        <f t="shared" si="25"/>
        <v>291.86792002651509</v>
      </c>
      <c r="AV19" s="22">
        <f t="shared" si="39"/>
        <v>5545.4904805037868</v>
      </c>
      <c r="AX19" s="7">
        <f t="shared" si="3"/>
        <v>212</v>
      </c>
      <c r="AY19" t="str">
        <f>IF(Oranges!$D$17&lt;0,(+N19+R19+V19+Z19+AC19+AG19+AL19+A19+AS19+AV19+AX19)*Oranges!$D$17/100,IF(Oranges!$D$17&gt;0,(+N19+R19+V19+Z19+AC19+AG19+AL19+A19+AS19+AV19+AX19)*Oranges!$D$17/100,""))</f>
        <v/>
      </c>
      <c r="BA19" s="22">
        <f t="shared" si="4"/>
        <v>19424.999951607806</v>
      </c>
      <c r="BC19" s="22"/>
      <c r="BD19" s="21">
        <f t="shared" si="5"/>
        <v>9158.9152319950372</v>
      </c>
      <c r="BF19" s="51">
        <f t="shared" si="6"/>
        <v>26.180922605541998</v>
      </c>
      <c r="BG19" s="141">
        <f t="shared" si="26"/>
        <v>26.180922605541998</v>
      </c>
      <c r="BI19" s="7">
        <f t="shared" si="42"/>
        <v>183.50873547873033</v>
      </c>
      <c r="BJ19" s="7">
        <f t="shared" si="40"/>
        <v>206.93435529879923</v>
      </c>
      <c r="BK19" s="7">
        <f t="shared" si="40"/>
        <v>182.78228491660511</v>
      </c>
      <c r="BL19" s="7">
        <v>124.74265216326211</v>
      </c>
    </row>
    <row r="20" spans="1:64" x14ac:dyDescent="0.2">
      <c r="A20" s="8">
        <f t="shared" si="7"/>
        <v>2034</v>
      </c>
      <c r="B20" s="22">
        <f t="shared" si="43"/>
        <v>1022.9194791288002</v>
      </c>
      <c r="C20" s="22">
        <f t="shared" si="8"/>
        <v>737.46501173695333</v>
      </c>
      <c r="D20" s="22"/>
      <c r="E20" s="22">
        <f t="shared" si="9"/>
        <v>737.46501173695333</v>
      </c>
      <c r="G20" s="15">
        <f t="shared" si="27"/>
        <v>40</v>
      </c>
      <c r="H20" s="15">
        <f t="shared" si="28"/>
        <v>40</v>
      </c>
      <c r="J20" s="22">
        <f t="shared" si="0"/>
        <v>29498.600469478133</v>
      </c>
      <c r="L20" s="54">
        <f t="shared" si="29"/>
        <v>28</v>
      </c>
      <c r="M20" s="7">
        <f t="shared" si="10"/>
        <v>54.002309381528569</v>
      </c>
      <c r="N20" s="7">
        <f t="shared" si="11"/>
        <v>1512.0646626828</v>
      </c>
      <c r="P20" s="15">
        <f t="shared" si="30"/>
        <v>6</v>
      </c>
      <c r="Q20" s="7">
        <f t="shared" si="12"/>
        <v>12.744644972040522</v>
      </c>
      <c r="R20" s="7">
        <f t="shared" si="13"/>
        <v>76.467869832243139</v>
      </c>
      <c r="T20" s="15">
        <f t="shared" si="31"/>
        <v>54</v>
      </c>
      <c r="U20" s="7">
        <f t="shared" si="14"/>
        <v>21.553443702715587</v>
      </c>
      <c r="V20" s="7">
        <f t="shared" si="15"/>
        <v>1163.8859599466416</v>
      </c>
      <c r="X20" s="14">
        <f t="shared" si="32"/>
        <v>2.2999999999999998</v>
      </c>
      <c r="Y20" s="7">
        <f t="shared" si="16"/>
        <v>53.814888131939725</v>
      </c>
      <c r="Z20" s="22">
        <f t="shared" si="17"/>
        <v>123.77424270346135</v>
      </c>
      <c r="AB20" s="7">
        <f t="shared" si="18"/>
        <v>37.650961683420483</v>
      </c>
      <c r="AC20" s="6">
        <f t="shared" si="1"/>
        <v>1506.0384673368194</v>
      </c>
      <c r="AE20" s="7">
        <f t="shared" si="33"/>
        <v>59.4</v>
      </c>
      <c r="AF20" s="7">
        <f t="shared" si="19"/>
        <v>52.711346356788646</v>
      </c>
      <c r="AG20" s="22">
        <f t="shared" si="20"/>
        <v>3131.0539735932452</v>
      </c>
      <c r="AI20" s="15">
        <f t="shared" si="34"/>
        <v>11</v>
      </c>
      <c r="AJ20" s="7">
        <f t="shared" si="21"/>
        <v>166.66709265255153</v>
      </c>
      <c r="AK20" s="7">
        <f t="shared" si="22"/>
        <v>442.47900704217204</v>
      </c>
      <c r="AL20" s="7">
        <f t="shared" si="35"/>
        <v>2275.8170262202389</v>
      </c>
      <c r="AN20" s="7">
        <f t="shared" si="23"/>
        <v>60.241538693472734</v>
      </c>
      <c r="AO20" s="22">
        <f t="shared" si="2"/>
        <v>2409.6615477389096</v>
      </c>
      <c r="AQ20" s="7">
        <f t="shared" si="36"/>
        <v>6</v>
      </c>
      <c r="AR20" s="7">
        <f t="shared" si="24"/>
        <v>301.62938423821788</v>
      </c>
      <c r="AS20" s="22">
        <f t="shared" si="37"/>
        <v>1809.7763054293073</v>
      </c>
      <c r="AT20" s="7">
        <f t="shared" si="38"/>
        <v>19</v>
      </c>
      <c r="AU20" s="7">
        <f t="shared" si="25"/>
        <v>301.20769346736358</v>
      </c>
      <c r="AV20" s="22">
        <f t="shared" si="39"/>
        <v>5722.946175879908</v>
      </c>
      <c r="AX20" s="7">
        <f t="shared" si="3"/>
        <v>212</v>
      </c>
      <c r="AY20" t="str">
        <f>IF(Oranges!$D$17&lt;0,(+N20+R20+V20+Z20+AC20+AG20+AL20+A20+AS20+AV20+AX20)*Oranges!$D$17/100,IF(Oranges!$D$17&gt;0,(+N20+R20+V20+Z20+AC20+AG20+AL20+A20+AS20+AV20+AX20)*Oranges!$D$17/100,""))</f>
        <v/>
      </c>
      <c r="BA20" s="22">
        <f t="shared" si="4"/>
        <v>19943.486231363575</v>
      </c>
      <c r="BC20" s="22"/>
      <c r="BD20" s="22">
        <f t="shared" si="5"/>
        <v>9555.1142381145582</v>
      </c>
      <c r="BF20" s="51">
        <f t="shared" si="6"/>
        <v>26.043272155842804</v>
      </c>
      <c r="BG20" s="141">
        <f t="shared" si="26"/>
        <v>26.043272155842804</v>
      </c>
      <c r="BI20" s="7">
        <f t="shared" si="42"/>
        <v>189.38101501404969</v>
      </c>
      <c r="BJ20" s="7">
        <f t="shared" si="40"/>
        <v>213.55625466836082</v>
      </c>
      <c r="BK20" s="7">
        <f t="shared" si="40"/>
        <v>188.63131803393648</v>
      </c>
      <c r="BL20" s="7">
        <v>124.56255613936351</v>
      </c>
    </row>
    <row r="21" spans="1:64" x14ac:dyDescent="0.2">
      <c r="A21" s="8">
        <f t="shared" si="7"/>
        <v>2035</v>
      </c>
      <c r="B21" s="22">
        <f>+B20</f>
        <v>1022.9194791288002</v>
      </c>
      <c r="C21" s="22">
        <f t="shared" si="8"/>
        <v>761.06389211253588</v>
      </c>
      <c r="D21" s="22"/>
      <c r="E21" s="22">
        <f t="shared" si="9"/>
        <v>761.06389211253588</v>
      </c>
      <c r="G21" s="15">
        <f t="shared" si="27"/>
        <v>40</v>
      </c>
      <c r="H21" s="15">
        <f t="shared" si="28"/>
        <v>40</v>
      </c>
      <c r="J21" s="22">
        <f t="shared" si="0"/>
        <v>30442.555684501436</v>
      </c>
      <c r="L21" s="54">
        <f t="shared" si="29"/>
        <v>28</v>
      </c>
      <c r="M21" s="7">
        <f t="shared" si="10"/>
        <v>53.842718410314532</v>
      </c>
      <c r="N21" s="7">
        <f t="shared" si="11"/>
        <v>1507.5961154888068</v>
      </c>
      <c r="P21" s="15">
        <f t="shared" si="30"/>
        <v>6</v>
      </c>
      <c r="Q21" s="7">
        <f t="shared" si="12"/>
        <v>12.706981207431934</v>
      </c>
      <c r="R21" s="7">
        <f t="shared" si="13"/>
        <v>76.241887244591595</v>
      </c>
      <c r="T21" s="15">
        <f t="shared" si="31"/>
        <v>54</v>
      </c>
      <c r="U21" s="7">
        <f t="shared" si="14"/>
        <v>21.489747630215771</v>
      </c>
      <c r="V21" s="7">
        <f t="shared" si="15"/>
        <v>1160.4463720316517</v>
      </c>
      <c r="X21" s="14">
        <f t="shared" si="32"/>
        <v>2.2999999999999998</v>
      </c>
      <c r="Y21" s="7">
        <f t="shared" si="16"/>
        <v>53.655851039616991</v>
      </c>
      <c r="Z21" s="22">
        <f t="shared" si="17"/>
        <v>123.40845739111907</v>
      </c>
      <c r="AB21" s="7">
        <f t="shared" si="18"/>
        <v>38.855792457289937</v>
      </c>
      <c r="AC21" s="6">
        <f t="shared" si="1"/>
        <v>1554.2316982915975</v>
      </c>
      <c r="AE21" s="7">
        <f t="shared" si="33"/>
        <v>59.4</v>
      </c>
      <c r="AF21" s="7">
        <f t="shared" si="19"/>
        <v>54.398109440205886</v>
      </c>
      <c r="AG21" s="22">
        <f t="shared" si="20"/>
        <v>3231.2477007482294</v>
      </c>
      <c r="AI21" s="15">
        <f t="shared" si="34"/>
        <v>11</v>
      </c>
      <c r="AJ21" s="7">
        <f t="shared" si="21"/>
        <v>172.00043961743316</v>
      </c>
      <c r="AK21" s="7">
        <f t="shared" si="22"/>
        <v>456.6383352675216</v>
      </c>
      <c r="AL21" s="7">
        <f t="shared" si="35"/>
        <v>2348.643171059286</v>
      </c>
      <c r="AN21" s="7">
        <f t="shared" si="23"/>
        <v>62.169267931663853</v>
      </c>
      <c r="AO21" s="22">
        <f t="shared" si="2"/>
        <v>2486.7707172665541</v>
      </c>
      <c r="AQ21" s="7">
        <f t="shared" si="36"/>
        <v>6</v>
      </c>
      <c r="AR21" s="7">
        <f t="shared" si="24"/>
        <v>311.28152453384087</v>
      </c>
      <c r="AS21" s="22">
        <f t="shared" si="37"/>
        <v>1867.6891472030452</v>
      </c>
      <c r="AT21" s="7">
        <f t="shared" si="38"/>
        <v>19</v>
      </c>
      <c r="AU21" s="7">
        <f t="shared" si="25"/>
        <v>310.84633965831921</v>
      </c>
      <c r="AV21" s="22">
        <f t="shared" si="39"/>
        <v>5906.0804535080651</v>
      </c>
      <c r="AX21" s="7">
        <f t="shared" si="3"/>
        <v>212</v>
      </c>
      <c r="AY21" t="str">
        <f>IF(Oranges!$D$17&lt;0,(+N21+R21+V21+Z21+AC21+AG21+AL21+A21+AS21+AV21+AX21)*Oranges!$D$17/100,IF(Oranges!$D$17&gt;0,(+N21+R21+V21+Z21+AC21+AG21+AL21+A21+AS21+AV21+AX21)*Oranges!$D$17/100,""))</f>
        <v/>
      </c>
      <c r="BA21" s="22">
        <f t="shared" si="4"/>
        <v>20474.355720232947</v>
      </c>
      <c r="BC21" s="22"/>
      <c r="BD21" s="21">
        <f t="shared" si="5"/>
        <v>9968.1999642684896</v>
      </c>
      <c r="BF21" s="51">
        <f t="shared" si="6"/>
        <v>25.904062874498194</v>
      </c>
      <c r="BG21" s="141">
        <f t="shared" si="26"/>
        <v>25.904062874498194</v>
      </c>
      <c r="BI21" s="7">
        <f t="shared" si="42"/>
        <v>195.44120749449928</v>
      </c>
      <c r="BJ21" s="7">
        <f t="shared" si="40"/>
        <v>220.39005481774836</v>
      </c>
      <c r="BK21" s="7">
        <f t="shared" si="40"/>
        <v>194.66752021102243</v>
      </c>
      <c r="BL21" s="7">
        <v>124.19444115430356</v>
      </c>
    </row>
    <row r="22" spans="1:64" x14ac:dyDescent="0.2">
      <c r="A22" s="8">
        <f t="shared" si="7"/>
        <v>2036</v>
      </c>
      <c r="B22" s="22">
        <f t="shared" si="43"/>
        <v>1022.9194791288002</v>
      </c>
      <c r="C22" s="22">
        <f t="shared" si="8"/>
        <v>785.41793666013712</v>
      </c>
      <c r="D22" s="22"/>
      <c r="E22" s="22">
        <f t="shared" si="9"/>
        <v>785.41793666013712</v>
      </c>
      <c r="G22" s="15">
        <f t="shared" si="27"/>
        <v>40</v>
      </c>
      <c r="H22" s="15">
        <f t="shared" si="28"/>
        <v>40</v>
      </c>
      <c r="J22" s="20">
        <f t="shared" si="0"/>
        <v>31416.717466405484</v>
      </c>
      <c r="L22" s="54">
        <f t="shared" si="29"/>
        <v>28</v>
      </c>
      <c r="M22" s="7">
        <f t="shared" si="10"/>
        <v>52.859924547037494</v>
      </c>
      <c r="N22" s="7">
        <f t="shared" si="11"/>
        <v>1480.0778873170498</v>
      </c>
      <c r="P22" s="15">
        <f t="shared" si="30"/>
        <v>6</v>
      </c>
      <c r="Q22" s="7">
        <f t="shared" si="12"/>
        <v>12.475040036552114</v>
      </c>
      <c r="R22" s="7">
        <f t="shared" si="13"/>
        <v>74.850240219312681</v>
      </c>
      <c r="T22" s="15">
        <f t="shared" si="31"/>
        <v>54</v>
      </c>
      <c r="U22" s="7">
        <f t="shared" si="14"/>
        <v>21.097494179463137</v>
      </c>
      <c r="V22" s="7">
        <f t="shared" si="15"/>
        <v>1139.2646856910094</v>
      </c>
      <c r="X22" s="14">
        <f t="shared" si="32"/>
        <v>2.2999999999999998</v>
      </c>
      <c r="Y22" s="7">
        <f t="shared" si="16"/>
        <v>52.676468075911714</v>
      </c>
      <c r="Z22" s="22">
        <f t="shared" si="17"/>
        <v>121.15587657459693</v>
      </c>
      <c r="AB22" s="7">
        <f t="shared" si="18"/>
        <v>40.099177815923213</v>
      </c>
      <c r="AC22" s="6">
        <f t="shared" si="1"/>
        <v>1603.9671126369285</v>
      </c>
      <c r="AE22" s="7">
        <f t="shared" si="33"/>
        <v>59.4</v>
      </c>
      <c r="AF22" s="7">
        <f t="shared" si="19"/>
        <v>56.138848942292476</v>
      </c>
      <c r="AG22" s="22">
        <f t="shared" si="20"/>
        <v>3334.6476271721731</v>
      </c>
      <c r="AI22" s="15">
        <f t="shared" si="34"/>
        <v>11</v>
      </c>
      <c r="AJ22" s="7">
        <f t="shared" si="21"/>
        <v>177.50445368519101</v>
      </c>
      <c r="AK22" s="7">
        <f t="shared" si="22"/>
        <v>471.2507619960823</v>
      </c>
      <c r="AL22" s="7">
        <f t="shared" si="35"/>
        <v>2423.7997525331834</v>
      </c>
      <c r="AN22" s="7">
        <f t="shared" si="23"/>
        <v>64.158684505477098</v>
      </c>
      <c r="AO22" s="22">
        <f t="shared" si="2"/>
        <v>2566.3473802190838</v>
      </c>
      <c r="AQ22" s="7">
        <f t="shared" si="36"/>
        <v>6</v>
      </c>
      <c r="AR22" s="7">
        <f t="shared" si="24"/>
        <v>321.24253331892379</v>
      </c>
      <c r="AS22" s="22">
        <f t="shared" si="37"/>
        <v>1927.4551999135429</v>
      </c>
      <c r="AT22" s="7">
        <f t="shared" si="38"/>
        <v>19</v>
      </c>
      <c r="AU22" s="7">
        <f t="shared" si="25"/>
        <v>320.79342252738542</v>
      </c>
      <c r="AV22" s="22">
        <f t="shared" si="39"/>
        <v>6095.0750280203229</v>
      </c>
      <c r="AX22" s="7">
        <f t="shared" si="3"/>
        <v>212</v>
      </c>
      <c r="AY22" t="str">
        <f>IF(Oranges!$D$17&lt;0,(+N22+R22+V22+Z22+AC22+AG22+AL22+A22+AS22+AV22+AX22)*Oranges!$D$17/100,IF(Oranges!$D$17&gt;0,(+N22+R22+V22+Z22+AC22+AG22+AL22+A22+AS22+AV22+AX22)*Oranges!$D$17/100,""))</f>
        <v/>
      </c>
      <c r="BA22" s="22">
        <f t="shared" si="4"/>
        <v>20978.640790297206</v>
      </c>
      <c r="BC22" s="22"/>
      <c r="BD22" s="21">
        <f t="shared" si="5"/>
        <v>10438.076676108278</v>
      </c>
      <c r="BF22" s="51">
        <f t="shared" si="6"/>
        <v>25.710708942005375</v>
      </c>
      <c r="BG22" s="141">
        <f t="shared" si="26"/>
        <v>25.710708942005375</v>
      </c>
      <c r="BI22" s="7">
        <f t="shared" si="42"/>
        <v>201.69532613432327</v>
      </c>
      <c r="BJ22" s="7">
        <f t="shared" si="40"/>
        <v>227.44253657191632</v>
      </c>
      <c r="BK22" s="7">
        <f t="shared" si="40"/>
        <v>200.89688085777516</v>
      </c>
      <c r="BL22" s="7">
        <v>121.92751373638573</v>
      </c>
    </row>
    <row r="23" spans="1:64" x14ac:dyDescent="0.2">
      <c r="A23" s="8">
        <f t="shared" si="7"/>
        <v>2037</v>
      </c>
      <c r="B23" s="22">
        <f t="shared" si="43"/>
        <v>1022.9194791288002</v>
      </c>
      <c r="C23" s="22">
        <f t="shared" si="8"/>
        <v>810.55131063326144</v>
      </c>
      <c r="D23" s="22"/>
      <c r="E23" s="22">
        <f t="shared" si="9"/>
        <v>810.55131063326144</v>
      </c>
      <c r="G23" s="15">
        <f t="shared" si="27"/>
        <v>40</v>
      </c>
      <c r="H23" s="15">
        <f t="shared" si="28"/>
        <v>40</v>
      </c>
      <c r="J23" s="22">
        <f t="shared" si="0"/>
        <v>32422.052425330457</v>
      </c>
      <c r="L23" s="54">
        <f t="shared" si="29"/>
        <v>28</v>
      </c>
      <c r="M23" s="7">
        <f t="shared" si="10"/>
        <v>51.996465822135022</v>
      </c>
      <c r="N23" s="7">
        <f t="shared" si="11"/>
        <v>1455.9010430197807</v>
      </c>
      <c r="P23" s="15">
        <f t="shared" si="30"/>
        <v>6</v>
      </c>
      <c r="Q23" s="7">
        <f t="shared" si="12"/>
        <v>12.271262179217425</v>
      </c>
      <c r="R23" s="7">
        <f t="shared" si="13"/>
        <v>73.627573075304554</v>
      </c>
      <c r="T23" s="15">
        <f t="shared" si="31"/>
        <v>54</v>
      </c>
      <c r="U23" s="7">
        <f t="shared" si="14"/>
        <v>20.752869861911822</v>
      </c>
      <c r="V23" s="7">
        <f t="shared" si="15"/>
        <v>1120.6549725432385</v>
      </c>
      <c r="X23" s="14">
        <f t="shared" si="32"/>
        <v>2.2999999999999998</v>
      </c>
      <c r="Y23" s="7">
        <f t="shared" si="16"/>
        <v>51.816006084205334</v>
      </c>
      <c r="Z23" s="22">
        <f t="shared" si="17"/>
        <v>119.17681399367225</v>
      </c>
      <c r="AB23" s="7">
        <f t="shared" si="18"/>
        <v>41.382351506032755</v>
      </c>
      <c r="AC23" s="6">
        <f t="shared" si="1"/>
        <v>1655.2940602413103</v>
      </c>
      <c r="AE23" s="7">
        <f t="shared" si="33"/>
        <v>59.4</v>
      </c>
      <c r="AF23" s="7">
        <f t="shared" si="19"/>
        <v>57.935292108445836</v>
      </c>
      <c r="AG23" s="22">
        <f t="shared" si="20"/>
        <v>3441.3563512416827</v>
      </c>
      <c r="AI23" s="15">
        <f t="shared" si="34"/>
        <v>11</v>
      </c>
      <c r="AJ23" s="7">
        <f t="shared" si="21"/>
        <v>183.18459620311711</v>
      </c>
      <c r="AK23" s="7">
        <f t="shared" si="22"/>
        <v>486.33078637995692</v>
      </c>
      <c r="AL23" s="7">
        <f t="shared" si="35"/>
        <v>2501.3613446142454</v>
      </c>
      <c r="AN23" s="7">
        <f t="shared" si="23"/>
        <v>66.211762409652366</v>
      </c>
      <c r="AO23" s="22">
        <f t="shared" si="2"/>
        <v>2648.4704963860945</v>
      </c>
      <c r="AQ23" s="7">
        <f t="shared" si="36"/>
        <v>6</v>
      </c>
      <c r="AR23" s="7">
        <f t="shared" si="24"/>
        <v>331.52229438512933</v>
      </c>
      <c r="AS23" s="22">
        <f t="shared" si="37"/>
        <v>1989.1337663107761</v>
      </c>
      <c r="AT23" s="7">
        <f t="shared" si="38"/>
        <v>19</v>
      </c>
      <c r="AU23" s="7">
        <f t="shared" si="25"/>
        <v>331.05881204826176</v>
      </c>
      <c r="AV23" s="22">
        <f t="shared" si="39"/>
        <v>6290.117428916973</v>
      </c>
      <c r="AX23" s="7">
        <f t="shared" si="3"/>
        <v>212</v>
      </c>
      <c r="AY23" t="str">
        <f>IF(Oranges!$D$17&lt;0,(+N23+R23+V23+Z23+AC23+AG23+AL23+A23+AS23+AV23+AX23)*Oranges!$D$17/100,IF(Oranges!$D$17&gt;0,(+N23+R23+V23+Z23+AC23+AG23+AL23+A23+AS23+AV23+AX23)*Oranges!$D$17/100,""))</f>
        <v/>
      </c>
      <c r="BA23" s="22">
        <f t="shared" si="4"/>
        <v>21507.093850343077</v>
      </c>
      <c r="BC23" s="22"/>
      <c r="BD23" s="22">
        <f t="shared" si="5"/>
        <v>10914.95857498738</v>
      </c>
      <c r="BF23" s="51">
        <f t="shared" si="6"/>
        <v>25.533791447313376</v>
      </c>
      <c r="BG23" s="141">
        <f t="shared" si="26"/>
        <v>25.533791447313376</v>
      </c>
      <c r="BI23" s="7">
        <f t="shared" si="42"/>
        <v>208.1495765706216</v>
      </c>
      <c r="BJ23" s="7">
        <f t="shared" si="40"/>
        <v>234.72069774221765</v>
      </c>
      <c r="BK23" s="7">
        <f t="shared" si="40"/>
        <v>207.32558104522397</v>
      </c>
      <c r="BL23" s="7">
        <v>119.93584658128668</v>
      </c>
    </row>
    <row r="24" spans="1:64" x14ac:dyDescent="0.2">
      <c r="A24" s="8">
        <f t="shared" si="7"/>
        <v>2038</v>
      </c>
      <c r="B24" s="22">
        <f t="shared" si="43"/>
        <v>1022.9194791288002</v>
      </c>
      <c r="C24" s="22">
        <f t="shared" si="8"/>
        <v>836.48895257352581</v>
      </c>
      <c r="D24" s="22"/>
      <c r="E24" s="22">
        <f t="shared" si="9"/>
        <v>836.48895257352581</v>
      </c>
      <c r="G24" s="15">
        <f t="shared" si="27"/>
        <v>40</v>
      </c>
      <c r="H24" s="15">
        <f t="shared" si="28"/>
        <v>40</v>
      </c>
      <c r="J24" s="22">
        <f t="shared" si="0"/>
        <v>33459.558102941031</v>
      </c>
      <c r="L24" s="54">
        <f t="shared" si="29"/>
        <v>28</v>
      </c>
      <c r="M24" s="7">
        <f t="shared" si="10"/>
        <v>51.408346303235383</v>
      </c>
      <c r="N24" s="7">
        <f t="shared" si="11"/>
        <v>1439.4336964905908</v>
      </c>
      <c r="P24" s="15">
        <f t="shared" si="30"/>
        <v>6</v>
      </c>
      <c r="Q24" s="7">
        <f t="shared" si="12"/>
        <v>12.132464884150876</v>
      </c>
      <c r="R24" s="7">
        <f t="shared" si="13"/>
        <v>72.794789304905251</v>
      </c>
      <c r="T24" s="15">
        <f t="shared" si="31"/>
        <v>54</v>
      </c>
      <c r="U24" s="7">
        <f t="shared" si="14"/>
        <v>20.518139142313981</v>
      </c>
      <c r="V24" s="7">
        <f t="shared" si="15"/>
        <v>1107.979513684955</v>
      </c>
      <c r="X24" s="14">
        <f t="shared" si="32"/>
        <v>2.2999999999999998</v>
      </c>
      <c r="Y24" s="7">
        <f t="shared" si="16"/>
        <v>51.229927701997859</v>
      </c>
      <c r="Z24" s="22">
        <f t="shared" si="17"/>
        <v>117.82883371459506</v>
      </c>
      <c r="AB24" s="7">
        <f t="shared" si="18"/>
        <v>42.706586754225803</v>
      </c>
      <c r="AC24" s="6">
        <f t="shared" si="1"/>
        <v>1708.2634701690322</v>
      </c>
      <c r="AE24" s="7">
        <f t="shared" si="33"/>
        <v>59.4</v>
      </c>
      <c r="AF24" s="7">
        <f t="shared" si="19"/>
        <v>59.789221455916106</v>
      </c>
      <c r="AG24" s="22">
        <f t="shared" si="20"/>
        <v>3551.4797544814164</v>
      </c>
      <c r="AI24" s="15">
        <f t="shared" si="34"/>
        <v>11</v>
      </c>
      <c r="AJ24" s="7">
        <f t="shared" si="21"/>
        <v>189.04650328161685</v>
      </c>
      <c r="AK24" s="7">
        <f t="shared" si="22"/>
        <v>501.8933715441155</v>
      </c>
      <c r="AL24" s="7">
        <f t="shared" si="35"/>
        <v>2581.4049076419005</v>
      </c>
      <c r="AN24" s="7">
        <f t="shared" si="23"/>
        <v>68.330538806761254</v>
      </c>
      <c r="AO24" s="22">
        <f t="shared" si="2"/>
        <v>2733.22155227045</v>
      </c>
      <c r="AQ24" s="7">
        <f t="shared" si="36"/>
        <v>6</v>
      </c>
      <c r="AR24" s="7">
        <f t="shared" si="24"/>
        <v>342.13100780545346</v>
      </c>
      <c r="AS24" s="22">
        <f t="shared" si="37"/>
        <v>2052.7860468327208</v>
      </c>
      <c r="AT24" s="7">
        <f t="shared" si="38"/>
        <v>19</v>
      </c>
      <c r="AU24" s="7">
        <f t="shared" si="25"/>
        <v>341.65269403380614</v>
      </c>
      <c r="AV24" s="22">
        <f t="shared" si="39"/>
        <v>6491.401186642317</v>
      </c>
      <c r="AX24" s="7">
        <f t="shared" si="3"/>
        <v>212</v>
      </c>
      <c r="AY24" t="str">
        <f>IF(Oranges!$D$17&lt;0,(+N24+R24+V24+Z24+AC24+AG24+AL24+A24+AS24+AV24+AX24)*Oranges!$D$17/100,IF(Oranges!$D$17&gt;0,(+N24+R24+V24+Z24+AC24+AG24+AL24+A24+AS24+AV24+AX24)*Oranges!$D$17/100,""))</f>
        <v/>
      </c>
      <c r="BA24" s="22">
        <f t="shared" si="4"/>
        <v>22068.593751232882</v>
      </c>
      <c r="BC24" s="22"/>
      <c r="BD24" s="21">
        <f t="shared" si="5"/>
        <v>11390.964351708149</v>
      </c>
      <c r="BF24" s="51">
        <f t="shared" si="6"/>
        <v>25.382688188427835</v>
      </c>
      <c r="BG24" s="141">
        <f t="shared" si="26"/>
        <v>25.382688188427835</v>
      </c>
      <c r="BI24" s="7">
        <f t="shared" si="42"/>
        <v>214.81036302088148</v>
      </c>
      <c r="BJ24" s="7">
        <f t="shared" si="40"/>
        <v>242.23176006996863</v>
      </c>
      <c r="BK24" s="7">
        <f t="shared" si="40"/>
        <v>213.95999963867115</v>
      </c>
      <c r="BL24" s="7">
        <v>118.57928106717092</v>
      </c>
    </row>
    <row r="25" spans="1:64" x14ac:dyDescent="0.2">
      <c r="A25" s="8">
        <f t="shared" si="7"/>
        <v>2039</v>
      </c>
      <c r="B25" s="22">
        <f t="shared" si="43"/>
        <v>1022.9194791288002</v>
      </c>
      <c r="C25" s="22">
        <f t="shared" si="8"/>
        <v>863.25659905587861</v>
      </c>
      <c r="D25" s="22"/>
      <c r="E25" s="22">
        <f t="shared" si="9"/>
        <v>863.25659905587861</v>
      </c>
      <c r="G25" s="15">
        <f t="shared" si="27"/>
        <v>40</v>
      </c>
      <c r="H25" s="15">
        <f t="shared" si="28"/>
        <v>40</v>
      </c>
      <c r="J25" s="20">
        <f t="shared" si="0"/>
        <v>34530.263962235142</v>
      </c>
      <c r="L25" s="54">
        <f t="shared" si="29"/>
        <v>28</v>
      </c>
      <c r="M25" s="7">
        <f t="shared" si="10"/>
        <v>50.998779751125824</v>
      </c>
      <c r="N25" s="7">
        <f t="shared" si="11"/>
        <v>1427.9658330315231</v>
      </c>
      <c r="P25" s="15">
        <f t="shared" si="30"/>
        <v>6</v>
      </c>
      <c r="Q25" s="7">
        <f t="shared" si="12"/>
        <v>12.035806419747416</v>
      </c>
      <c r="R25" s="7">
        <f t="shared" si="13"/>
        <v>72.214838518484498</v>
      </c>
      <c r="T25" s="15">
        <f t="shared" si="31"/>
        <v>54</v>
      </c>
      <c r="U25" s="7">
        <f t="shared" si="14"/>
        <v>20.354672621631661</v>
      </c>
      <c r="V25" s="7">
        <f t="shared" si="15"/>
        <v>1099.1523215681098</v>
      </c>
      <c r="X25" s="14">
        <f t="shared" si="32"/>
        <v>2.2999999999999998</v>
      </c>
      <c r="Y25" s="7">
        <f t="shared" si="16"/>
        <v>50.821782597894234</v>
      </c>
      <c r="Z25" s="22">
        <f t="shared" si="17"/>
        <v>116.89009997515673</v>
      </c>
      <c r="AB25" s="7">
        <f t="shared" si="18"/>
        <v>44.073197530361028</v>
      </c>
      <c r="AC25" s="6">
        <f t="shared" si="1"/>
        <v>1762.9279012144411</v>
      </c>
      <c r="AE25" s="7">
        <f t="shared" si="33"/>
        <v>59.4</v>
      </c>
      <c r="AF25" s="7">
        <f t="shared" si="19"/>
        <v>61.702476542505423</v>
      </c>
      <c r="AG25" s="22">
        <f t="shared" si="20"/>
        <v>3665.1271066248219</v>
      </c>
      <c r="AI25" s="15">
        <f t="shared" si="34"/>
        <v>11</v>
      </c>
      <c r="AJ25" s="7">
        <f t="shared" si="21"/>
        <v>195.09599138662858</v>
      </c>
      <c r="AK25" s="7">
        <f t="shared" si="22"/>
        <v>517.95395943352719</v>
      </c>
      <c r="AL25" s="7">
        <f t="shared" si="35"/>
        <v>2664.0098646864417</v>
      </c>
      <c r="AN25" s="7">
        <f t="shared" si="23"/>
        <v>70.51711604857762</v>
      </c>
      <c r="AO25" s="22">
        <f t="shared" si="2"/>
        <v>2820.6846419431049</v>
      </c>
      <c r="AQ25" s="7">
        <f t="shared" si="36"/>
        <v>6</v>
      </c>
      <c r="AR25" s="7">
        <f t="shared" si="24"/>
        <v>353.079200055228</v>
      </c>
      <c r="AS25" s="22">
        <f t="shared" si="37"/>
        <v>2118.4752003313679</v>
      </c>
      <c r="AT25" s="7">
        <f t="shared" si="38"/>
        <v>19</v>
      </c>
      <c r="AU25" s="7">
        <f t="shared" si="25"/>
        <v>352.585580242888</v>
      </c>
      <c r="AV25" s="22">
        <f t="shared" si="39"/>
        <v>6699.1260246148722</v>
      </c>
      <c r="AX25" s="7">
        <f t="shared" si="3"/>
        <v>212</v>
      </c>
      <c r="AY25" t="str">
        <f>IF(Oranges!$D$17&lt;0,(+N25+R25+V25+Z25+AC25+AG25+AL25+A25+AS25+AV25+AX25)*Oranges!$D$17/100,IF(Oranges!$D$17&gt;0,(+N25+R25+V25+Z25+AC25+AG25+AL25+A25+AS25+AV25+AX25)*Oranges!$D$17/100,""))</f>
        <v/>
      </c>
      <c r="BA25" s="22">
        <f t="shared" si="4"/>
        <v>22658.573832508322</v>
      </c>
      <c r="BC25" s="22"/>
      <c r="BD25" s="22">
        <f t="shared" si="5"/>
        <v>11871.69012972682</v>
      </c>
      <c r="BF25" s="51">
        <f t="shared" si="6"/>
        <v>25.249102817239621</v>
      </c>
      <c r="BG25" s="141">
        <f t="shared" si="26"/>
        <v>25.249102817239621</v>
      </c>
      <c r="BI25" s="7">
        <f t="shared" si="42"/>
        <v>221.6842946375497</v>
      </c>
      <c r="BJ25" s="7">
        <f t="shared" si="42"/>
        <v>249.98317639220764</v>
      </c>
      <c r="BK25" s="7">
        <f t="shared" si="42"/>
        <v>220.80671962710863</v>
      </c>
      <c r="BL25" s="7">
        <v>117.63456856831245</v>
      </c>
    </row>
    <row r="26" spans="1:64" x14ac:dyDescent="0.2">
      <c r="A26" s="8">
        <f t="shared" si="7"/>
        <v>2040</v>
      </c>
      <c r="B26" s="22">
        <f t="shared" si="43"/>
        <v>1022.9194791288002</v>
      </c>
      <c r="C26" s="22">
        <f t="shared" si="8"/>
        <v>890.88081022566678</v>
      </c>
      <c r="D26" s="22"/>
      <c r="E26" s="22">
        <f t="shared" si="9"/>
        <v>890.88081022566678</v>
      </c>
      <c r="G26" s="15">
        <f t="shared" si="27"/>
        <v>40</v>
      </c>
      <c r="H26" s="15">
        <f t="shared" si="28"/>
        <v>40</v>
      </c>
      <c r="J26" s="22">
        <f t="shared" si="0"/>
        <v>35635.23240902667</v>
      </c>
      <c r="L26" s="54">
        <f t="shared" si="29"/>
        <v>28</v>
      </c>
      <c r="M26" s="7">
        <f t="shared" si="10"/>
        <v>50.851913770030542</v>
      </c>
      <c r="N26" s="7">
        <f t="shared" si="11"/>
        <v>1423.8535855608552</v>
      </c>
      <c r="P26" s="15">
        <f t="shared" si="30"/>
        <v>6</v>
      </c>
      <c r="Q26" s="7">
        <f t="shared" si="12"/>
        <v>12.001145776360746</v>
      </c>
      <c r="R26" s="7">
        <f t="shared" si="13"/>
        <v>72.006874658164477</v>
      </c>
      <c r="T26" s="15">
        <f t="shared" si="31"/>
        <v>54</v>
      </c>
      <c r="U26" s="7">
        <f t="shared" si="14"/>
        <v>20.296055357080672</v>
      </c>
      <c r="V26" s="7">
        <f t="shared" si="15"/>
        <v>1095.9869892823563</v>
      </c>
      <c r="X26" s="14">
        <f t="shared" si="32"/>
        <v>2.2999999999999998</v>
      </c>
      <c r="Y26" s="7">
        <f t="shared" si="16"/>
        <v>50.675426332142877</v>
      </c>
      <c r="Z26" s="22">
        <f t="shared" si="17"/>
        <v>116.5534805639286</v>
      </c>
      <c r="AB26" s="7">
        <f t="shared" si="18"/>
        <v>45.48353985133258</v>
      </c>
      <c r="AC26" s="6">
        <f t="shared" si="1"/>
        <v>1819.3415940533032</v>
      </c>
      <c r="AE26" s="7">
        <f t="shared" si="33"/>
        <v>59.4</v>
      </c>
      <c r="AF26" s="7">
        <f t="shared" si="19"/>
        <v>63.676955791865595</v>
      </c>
      <c r="AG26" s="22">
        <f t="shared" si="20"/>
        <v>3782.4111740368162</v>
      </c>
      <c r="AI26" s="15">
        <f t="shared" si="34"/>
        <v>11</v>
      </c>
      <c r="AJ26" s="7">
        <f t="shared" si="21"/>
        <v>201.33906311100068</v>
      </c>
      <c r="AK26" s="7">
        <f t="shared" si="22"/>
        <v>534.52848613540004</v>
      </c>
      <c r="AL26" s="7">
        <f t="shared" si="35"/>
        <v>2749.2581803564071</v>
      </c>
      <c r="AN26" s="7">
        <f t="shared" si="23"/>
        <v>72.773663762132102</v>
      </c>
      <c r="AO26" s="22">
        <f t="shared" si="2"/>
        <v>2910.9465504852842</v>
      </c>
      <c r="AQ26" s="7">
        <f t="shared" si="36"/>
        <v>6</v>
      </c>
      <c r="AR26" s="7">
        <f t="shared" si="24"/>
        <v>364.37773445699526</v>
      </c>
      <c r="AS26" s="22">
        <f t="shared" si="37"/>
        <v>2186.2664067419714</v>
      </c>
      <c r="AT26" s="7">
        <f t="shared" si="38"/>
        <v>19</v>
      </c>
      <c r="AU26" s="7">
        <f t="shared" si="25"/>
        <v>363.86831881066041</v>
      </c>
      <c r="AV26" s="22">
        <f t="shared" si="39"/>
        <v>6913.4980574025476</v>
      </c>
      <c r="AX26" s="7">
        <f t="shared" si="3"/>
        <v>212</v>
      </c>
      <c r="AY26" t="str">
        <f>IF(Oranges!$D$17&lt;0,(+N26+R26+V26+Z26+AC26+AG26+AL26+A26+AS26+AV26+AX26)*Oranges!$D$17/100,IF(Oranges!$D$17&gt;0,(+N26+R26+V26+Z26+AC26+AG26+AL26+A26+AS26+AV26+AX26)*Oranges!$D$17/100,""))</f>
        <v/>
      </c>
      <c r="BA26" s="22">
        <f t="shared" si="4"/>
        <v>23282.122893141634</v>
      </c>
      <c r="BC26" s="22"/>
      <c r="BD26" s="21">
        <f t="shared" si="5"/>
        <v>12353.109515885037</v>
      </c>
      <c r="BF26" s="51">
        <f t="shared" si="6"/>
        <v>25.137035620754585</v>
      </c>
      <c r="BG26" s="141">
        <f t="shared" si="26"/>
        <v>25.137035620754585</v>
      </c>
      <c r="BI26" s="7">
        <f t="shared" si="42"/>
        <v>228.77819206595129</v>
      </c>
      <c r="BJ26" s="7">
        <f t="shared" si="42"/>
        <v>257.98263803675826</v>
      </c>
      <c r="BK26" s="7">
        <f t="shared" si="42"/>
        <v>227.87253465517611</v>
      </c>
      <c r="BL26" s="7">
        <v>117.29580524087962</v>
      </c>
    </row>
    <row r="27" spans="1:64" x14ac:dyDescent="0.2">
      <c r="A27" s="8">
        <f t="shared" si="7"/>
        <v>2041</v>
      </c>
      <c r="B27" s="22">
        <f t="shared" si="43"/>
        <v>1022.9194791288002</v>
      </c>
      <c r="C27" s="22">
        <f t="shared" si="8"/>
        <v>919.38899615288824</v>
      </c>
      <c r="D27" s="22"/>
      <c r="E27" s="22">
        <f t="shared" si="9"/>
        <v>919.38899615288824</v>
      </c>
      <c r="G27" s="15">
        <f t="shared" si="27"/>
        <v>40</v>
      </c>
      <c r="H27" s="15">
        <f t="shared" si="28"/>
        <v>40</v>
      </c>
      <c r="J27" s="22">
        <f t="shared" si="0"/>
        <v>36775.559846115531</v>
      </c>
      <c r="L27" s="54">
        <f t="shared" si="29"/>
        <v>28</v>
      </c>
      <c r="M27" s="7">
        <f t="shared" si="10"/>
        <v>50.887943635535592</v>
      </c>
      <c r="N27" s="7">
        <f t="shared" si="11"/>
        <v>1424.8624217949966</v>
      </c>
      <c r="P27" s="15">
        <f t="shared" si="30"/>
        <v>6</v>
      </c>
      <c r="Q27" s="7">
        <f t="shared" si="12"/>
        <v>12.009648891311034</v>
      </c>
      <c r="R27" s="7">
        <f t="shared" si="13"/>
        <v>72.057893347866212</v>
      </c>
      <c r="T27" s="15">
        <f t="shared" si="31"/>
        <v>54</v>
      </c>
      <c r="U27" s="7">
        <f t="shared" si="14"/>
        <v>20.310435625011309</v>
      </c>
      <c r="V27" s="7">
        <f t="shared" si="15"/>
        <v>1096.7635237506106</v>
      </c>
      <c r="X27" s="14">
        <f t="shared" si="32"/>
        <v>2.2999999999999998</v>
      </c>
      <c r="Y27" s="7">
        <f t="shared" si="16"/>
        <v>50.711331151839836</v>
      </c>
      <c r="Z27" s="22">
        <f t="shared" si="17"/>
        <v>116.63606164923162</v>
      </c>
      <c r="AB27" s="7">
        <f t="shared" si="18"/>
        <v>46.939013126575226</v>
      </c>
      <c r="AC27" s="6">
        <f t="shared" si="1"/>
        <v>1877.560525063009</v>
      </c>
      <c r="AE27" s="7">
        <f t="shared" si="33"/>
        <v>59.4</v>
      </c>
      <c r="AF27" s="7">
        <f t="shared" si="19"/>
        <v>65.714618377205298</v>
      </c>
      <c r="AG27" s="22">
        <f t="shared" si="20"/>
        <v>3903.4483316059946</v>
      </c>
      <c r="AI27" s="15">
        <f t="shared" si="34"/>
        <v>11</v>
      </c>
      <c r="AJ27" s="7">
        <f t="shared" si="21"/>
        <v>207.78191313055271</v>
      </c>
      <c r="AK27" s="7">
        <f t="shared" si="22"/>
        <v>551.63339769173285</v>
      </c>
      <c r="AL27" s="7">
        <f t="shared" si="35"/>
        <v>2837.2344421278131</v>
      </c>
      <c r="AN27" s="7">
        <f t="shared" si="23"/>
        <v>75.10242100252033</v>
      </c>
      <c r="AO27" s="22">
        <f t="shared" si="2"/>
        <v>3004.0968401008131</v>
      </c>
      <c r="AQ27" s="7">
        <f t="shared" si="36"/>
        <v>6</v>
      </c>
      <c r="AR27" s="7">
        <f t="shared" si="24"/>
        <v>376.03782195961912</v>
      </c>
      <c r="AS27" s="22">
        <f t="shared" si="37"/>
        <v>2256.2269317577147</v>
      </c>
      <c r="AT27" s="7">
        <f t="shared" si="38"/>
        <v>19</v>
      </c>
      <c r="AU27" s="7">
        <f t="shared" si="25"/>
        <v>375.51210501260152</v>
      </c>
      <c r="AV27" s="22">
        <f t="shared" si="39"/>
        <v>7134.7299952394287</v>
      </c>
      <c r="AX27" s="7">
        <f t="shared" si="3"/>
        <v>212</v>
      </c>
      <c r="AY27" t="str">
        <f>IF(Oranges!$D$17&lt;0,(+N27+R27+V27+Z27+AC27+AG27+AL27+A27+AS27+AV27+AX27)*Oranges!$D$17/100,IF(Oranges!$D$17&gt;0,(+N27+R27+V27+Z27+AC27+AG27+AL27+A27+AS27+AV27+AX27)*Oranges!$D$17/100,""))</f>
        <v/>
      </c>
      <c r="BA27" s="22">
        <f t="shared" si="4"/>
        <v>23935.616966437479</v>
      </c>
      <c r="BC27" s="22"/>
      <c r="BD27" s="21">
        <f t="shared" si="5"/>
        <v>12839.942879678052</v>
      </c>
      <c r="BF27" s="51">
        <f t="shared" si="6"/>
        <v>25.039895542889354</v>
      </c>
      <c r="BG27" s="141">
        <f t="shared" si="26"/>
        <v>25.039895542889354</v>
      </c>
      <c r="BI27" s="7">
        <f t="shared" ref="BI27:BK41" si="44">+BI26+(BI26*0.032)</f>
        <v>236.09909421206174</v>
      </c>
      <c r="BJ27" s="7">
        <f t="shared" si="44"/>
        <v>266.23808245393451</v>
      </c>
      <c r="BK27" s="7">
        <f t="shared" si="44"/>
        <v>235.16445576414174</v>
      </c>
      <c r="BL27" s="7">
        <v>117.37891228196852</v>
      </c>
    </row>
    <row r="28" spans="1:64" x14ac:dyDescent="0.2">
      <c r="A28" s="8">
        <f t="shared" si="7"/>
        <v>2042</v>
      </c>
      <c r="B28" s="22">
        <f t="shared" si="43"/>
        <v>1022.9194791288002</v>
      </c>
      <c r="C28" s="22">
        <f t="shared" si="8"/>
        <v>948.80944402978071</v>
      </c>
      <c r="D28" s="22"/>
      <c r="E28" s="22">
        <f t="shared" si="9"/>
        <v>948.80944402978071</v>
      </c>
      <c r="G28" s="15">
        <f t="shared" si="27"/>
        <v>40</v>
      </c>
      <c r="H28" s="15">
        <f t="shared" si="28"/>
        <v>40</v>
      </c>
      <c r="J28" s="20">
        <f t="shared" si="0"/>
        <v>37952.37776119123</v>
      </c>
      <c r="L28" s="54">
        <f t="shared" si="29"/>
        <v>28</v>
      </c>
      <c r="M28" s="7">
        <f t="shared" si="10"/>
        <v>51.14849326682701</v>
      </c>
      <c r="N28" s="7">
        <f t="shared" si="11"/>
        <v>1432.1578114711563</v>
      </c>
      <c r="P28" s="15">
        <f t="shared" si="30"/>
        <v>6</v>
      </c>
      <c r="Q28" s="7">
        <f t="shared" si="12"/>
        <v>12.071139086571852</v>
      </c>
      <c r="R28" s="7">
        <f t="shared" si="13"/>
        <v>72.426834519431111</v>
      </c>
      <c r="T28" s="15">
        <f t="shared" si="31"/>
        <v>54</v>
      </c>
      <c r="U28" s="7">
        <f t="shared" si="14"/>
        <v>20.414426396408277</v>
      </c>
      <c r="V28" s="7">
        <f t="shared" si="15"/>
        <v>1102.379025406047</v>
      </c>
      <c r="X28" s="14">
        <f t="shared" si="32"/>
        <v>2.2999999999999998</v>
      </c>
      <c r="Y28" s="7">
        <f t="shared" si="16"/>
        <v>50.970976515553893</v>
      </c>
      <c r="Z28" s="22">
        <f t="shared" si="17"/>
        <v>117.23324598577395</v>
      </c>
      <c r="AB28" s="7">
        <f t="shared" si="18"/>
        <v>48.441061546625633</v>
      </c>
      <c r="AC28" s="6">
        <f t="shared" si="1"/>
        <v>1937.6424618650253</v>
      </c>
      <c r="AE28" s="7">
        <f t="shared" si="33"/>
        <v>59.4</v>
      </c>
      <c r="AF28" s="7">
        <f t="shared" si="19"/>
        <v>67.817486165275866</v>
      </c>
      <c r="AG28" s="22">
        <f t="shared" si="20"/>
        <v>4028.3586782173866</v>
      </c>
      <c r="AI28" s="15">
        <f t="shared" si="34"/>
        <v>11</v>
      </c>
      <c r="AJ28" s="7">
        <f t="shared" si="21"/>
        <v>214.43093435073038</v>
      </c>
      <c r="AK28" s="7">
        <f t="shared" si="22"/>
        <v>569.28566641786824</v>
      </c>
      <c r="AL28" s="7">
        <f t="shared" si="35"/>
        <v>2928.0259442759025</v>
      </c>
      <c r="AN28" s="7">
        <f t="shared" si="23"/>
        <v>77.505698474600976</v>
      </c>
      <c r="AO28" s="22">
        <f t="shared" si="2"/>
        <v>3100.2279389840392</v>
      </c>
      <c r="AQ28" s="7">
        <f t="shared" si="36"/>
        <v>6</v>
      </c>
      <c r="AR28" s="7">
        <f t="shared" si="24"/>
        <v>388.07103226232698</v>
      </c>
      <c r="AS28" s="22">
        <f t="shared" si="37"/>
        <v>2328.4261935739619</v>
      </c>
      <c r="AT28" s="7">
        <f t="shared" si="38"/>
        <v>19</v>
      </c>
      <c r="AU28" s="7">
        <f t="shared" si="25"/>
        <v>387.52849237300478</v>
      </c>
      <c r="AV28" s="22">
        <f t="shared" si="39"/>
        <v>7363.0413550870908</v>
      </c>
      <c r="AX28" s="7">
        <f t="shared" si="3"/>
        <v>212</v>
      </c>
      <c r="AY28" t="str">
        <f>IF(Oranges!$D$17&lt;0,(+N28+R28+V28+Z28+AC28+AG28+AL28+A28+AS28+AV28+AX28)*Oranges!$D$17/100,IF(Oranges!$D$17&gt;0,(+N28+R28+V28+Z28+AC28+AG28+AL28+A28+AS28+AV28+AX28)*Oranges!$D$17/100,""))</f>
        <v/>
      </c>
      <c r="BA28" s="22">
        <f t="shared" si="4"/>
        <v>24621.919489385815</v>
      </c>
      <c r="BC28" s="22"/>
      <c r="BD28" s="22">
        <f t="shared" si="5"/>
        <v>13330.458271805415</v>
      </c>
      <c r="BF28" s="51">
        <f t="shared" si="6"/>
        <v>24.95898064028389</v>
      </c>
      <c r="BG28" s="141">
        <f t="shared" si="26"/>
        <v>24.95898064028389</v>
      </c>
      <c r="BI28" s="7">
        <f t="shared" si="44"/>
        <v>243.65426522684771</v>
      </c>
      <c r="BJ28" s="7">
        <f t="shared" si="44"/>
        <v>274.75770109246042</v>
      </c>
      <c r="BK28" s="7">
        <f t="shared" si="44"/>
        <v>242.68971834859428</v>
      </c>
      <c r="BL28" s="7">
        <v>117.9799000627972</v>
      </c>
    </row>
    <row r="29" spans="1:64" x14ac:dyDescent="0.2">
      <c r="A29" s="8">
        <f t="shared" si="7"/>
        <v>2043</v>
      </c>
      <c r="B29" s="22">
        <f t="shared" si="43"/>
        <v>1022.9194791288002</v>
      </c>
      <c r="C29" s="22">
        <f t="shared" si="8"/>
        <v>979.1713462387338</v>
      </c>
      <c r="D29" s="22"/>
      <c r="E29" s="22">
        <f t="shared" si="9"/>
        <v>979.1713462387338</v>
      </c>
      <c r="G29" s="15">
        <f t="shared" si="27"/>
        <v>40</v>
      </c>
      <c r="H29" s="15">
        <f t="shared" si="28"/>
        <v>40</v>
      </c>
      <c r="J29" s="22">
        <f t="shared" si="0"/>
        <v>39166.853849549356</v>
      </c>
      <c r="L29" s="54">
        <f t="shared" si="29"/>
        <v>28</v>
      </c>
      <c r="M29" s="7">
        <f t="shared" si="10"/>
        <v>51.564498460147696</v>
      </c>
      <c r="N29" s="7">
        <f t="shared" si="11"/>
        <v>1443.8059568841354</v>
      </c>
      <c r="P29" s="15">
        <f t="shared" si="30"/>
        <v>6</v>
      </c>
      <c r="Q29" s="7">
        <f t="shared" si="12"/>
        <v>12.169317082219029</v>
      </c>
      <c r="R29" s="7">
        <f t="shared" si="13"/>
        <v>73.015902493314172</v>
      </c>
      <c r="T29" s="15">
        <f t="shared" si="31"/>
        <v>54</v>
      </c>
      <c r="U29" s="7">
        <f t="shared" si="14"/>
        <v>20.580462712576299</v>
      </c>
      <c r="V29" s="7">
        <f t="shared" si="15"/>
        <v>1111.3449864791201</v>
      </c>
      <c r="X29" s="14">
        <f t="shared" si="32"/>
        <v>2.2999999999999998</v>
      </c>
      <c r="Y29" s="7">
        <f t="shared" si="16"/>
        <v>51.385537914820951</v>
      </c>
      <c r="Z29" s="22">
        <f t="shared" si="17"/>
        <v>118.18673720408817</v>
      </c>
      <c r="AB29" s="7">
        <f t="shared" si="18"/>
        <v>49.991175516117657</v>
      </c>
      <c r="AC29" s="6">
        <f t="shared" si="1"/>
        <v>1999.6470206447063</v>
      </c>
      <c r="AE29" s="7">
        <f t="shared" si="33"/>
        <v>59.4</v>
      </c>
      <c r="AF29" s="7">
        <f t="shared" si="19"/>
        <v>69.987645722564693</v>
      </c>
      <c r="AG29" s="22">
        <f t="shared" si="20"/>
        <v>4157.2661559203425</v>
      </c>
      <c r="AI29" s="15">
        <f t="shared" si="34"/>
        <v>11</v>
      </c>
      <c r="AJ29" s="7">
        <f t="shared" si="21"/>
        <v>221.29272424995375</v>
      </c>
      <c r="AK29" s="7">
        <f t="shared" si="22"/>
        <v>587.50280774324006</v>
      </c>
      <c r="AL29" s="7">
        <f t="shared" si="35"/>
        <v>3021.7227744927313</v>
      </c>
      <c r="AN29" s="7">
        <f t="shared" si="23"/>
        <v>79.9858808257882</v>
      </c>
      <c r="AO29" s="22">
        <f t="shared" si="2"/>
        <v>3199.4352330315278</v>
      </c>
      <c r="AQ29" s="7">
        <f t="shared" si="36"/>
        <v>6</v>
      </c>
      <c r="AR29" s="7">
        <f t="shared" si="24"/>
        <v>400.48930529472142</v>
      </c>
      <c r="AS29" s="22">
        <f t="shared" si="37"/>
        <v>2402.9358317683286</v>
      </c>
      <c r="AT29" s="7">
        <f t="shared" si="38"/>
        <v>19</v>
      </c>
      <c r="AU29" s="7">
        <f t="shared" si="25"/>
        <v>399.92940412894092</v>
      </c>
      <c r="AV29" s="22">
        <f t="shared" si="39"/>
        <v>7598.6586784498777</v>
      </c>
      <c r="AX29" s="7">
        <f t="shared" si="3"/>
        <v>212</v>
      </c>
      <c r="AY29" t="str">
        <f>IF(Oranges!$D$17&lt;0,(+N29+R29+V29+Z29+AC29+AG29+AL29+A29+AS29+AV29+AX29)*Oranges!$D$17/100,IF(Oranges!$D$17&gt;0,(+N29+R29+V29+Z29+AC29+AG29+AL29+A29+AS29+AV29+AX29)*Oranges!$D$17/100,""))</f>
        <v/>
      </c>
      <c r="BA29" s="22">
        <f t="shared" si="4"/>
        <v>25338.01927736817</v>
      </c>
      <c r="BC29" s="22"/>
      <c r="BD29" s="21">
        <f t="shared" si="5"/>
        <v>13828.834572181186</v>
      </c>
      <c r="BF29" s="51">
        <f t="shared" si="6"/>
        <v>24.889007520186603</v>
      </c>
      <c r="BG29" s="141">
        <f t="shared" si="26"/>
        <v>24.889007520186603</v>
      </c>
      <c r="BI29" s="7">
        <f t="shared" si="44"/>
        <v>251.45120171410684</v>
      </c>
      <c r="BJ29" s="7">
        <f t="shared" si="44"/>
        <v>283.54994752741914</v>
      </c>
      <c r="BK29" s="7">
        <f t="shared" si="44"/>
        <v>250.4557893357493</v>
      </c>
      <c r="BL29" s="7">
        <v>118.93946403035226</v>
      </c>
    </row>
    <row r="30" spans="1:64" x14ac:dyDescent="0.2">
      <c r="A30" s="8">
        <f t="shared" si="7"/>
        <v>2044</v>
      </c>
      <c r="B30" s="22">
        <f t="shared" si="43"/>
        <v>1022.9194791288002</v>
      </c>
      <c r="C30" s="22">
        <f t="shared" si="8"/>
        <v>1010.5048293183731</v>
      </c>
      <c r="D30" s="22"/>
      <c r="E30" s="22">
        <f t="shared" si="9"/>
        <v>1010.5048293183731</v>
      </c>
      <c r="G30" s="15">
        <f t="shared" si="27"/>
        <v>40</v>
      </c>
      <c r="H30" s="15">
        <f t="shared" si="28"/>
        <v>40</v>
      </c>
      <c r="J30" s="22">
        <f t="shared" si="0"/>
        <v>40420.193172734929</v>
      </c>
      <c r="L30" s="54">
        <f t="shared" si="29"/>
        <v>28</v>
      </c>
      <c r="M30" s="7">
        <f t="shared" si="10"/>
        <v>52.150376880174392</v>
      </c>
      <c r="N30" s="7">
        <f t="shared" si="11"/>
        <v>1460.2105526448829</v>
      </c>
      <c r="P30" s="15">
        <f t="shared" si="30"/>
        <v>6</v>
      </c>
      <c r="Q30" s="7">
        <f t="shared" si="12"/>
        <v>12.307585473803302</v>
      </c>
      <c r="R30" s="7">
        <f t="shared" si="13"/>
        <v>73.845512842819815</v>
      </c>
      <c r="T30" s="15">
        <f t="shared" si="31"/>
        <v>54</v>
      </c>
      <c r="U30" s="7">
        <f t="shared" si="14"/>
        <v>20.814298963049705</v>
      </c>
      <c r="V30" s="7">
        <f t="shared" si="15"/>
        <v>1123.972144004684</v>
      </c>
      <c r="X30" s="14">
        <f t="shared" si="32"/>
        <v>2.2999999999999998</v>
      </c>
      <c r="Y30" s="7">
        <f t="shared" si="16"/>
        <v>51.969382976147884</v>
      </c>
      <c r="Z30" s="22">
        <f t="shared" si="17"/>
        <v>119.52958084514012</v>
      </c>
      <c r="AB30" s="7">
        <f t="shared" si="18"/>
        <v>51.590893132633425</v>
      </c>
      <c r="AC30" s="6">
        <f t="shared" si="1"/>
        <v>2063.635725305337</v>
      </c>
      <c r="AE30" s="7">
        <f t="shared" si="33"/>
        <v>59.4</v>
      </c>
      <c r="AF30" s="7">
        <f t="shared" si="19"/>
        <v>72.227250385686759</v>
      </c>
      <c r="AG30" s="22">
        <f t="shared" si="20"/>
        <v>4290.2986729097929</v>
      </c>
      <c r="AI30" s="15">
        <f t="shared" si="34"/>
        <v>11</v>
      </c>
      <c r="AJ30" s="7">
        <f t="shared" si="21"/>
        <v>228.37409142595226</v>
      </c>
      <c r="AK30" s="7">
        <f t="shared" si="22"/>
        <v>606.30289759102379</v>
      </c>
      <c r="AL30" s="7">
        <f t="shared" si="35"/>
        <v>3118.4179032764987</v>
      </c>
      <c r="AN30" s="7">
        <f t="shared" si="23"/>
        <v>82.545429012213418</v>
      </c>
      <c r="AO30" s="22">
        <f t="shared" si="2"/>
        <v>3301.8171604885365</v>
      </c>
      <c r="AQ30" s="7">
        <f t="shared" si="36"/>
        <v>6</v>
      </c>
      <c r="AR30" s="7">
        <f t="shared" si="24"/>
        <v>413.3049630641525</v>
      </c>
      <c r="AS30" s="22">
        <f t="shared" si="37"/>
        <v>2479.8297783849148</v>
      </c>
      <c r="AT30" s="7">
        <f t="shared" si="38"/>
        <v>19</v>
      </c>
      <c r="AU30" s="7">
        <f t="shared" si="25"/>
        <v>412.72714506106701</v>
      </c>
      <c r="AV30" s="22">
        <f t="shared" si="39"/>
        <v>7841.8157561602729</v>
      </c>
      <c r="AX30" s="7">
        <f t="shared" si="3"/>
        <v>212</v>
      </c>
      <c r="AY30" t="str">
        <f>IF(Oranges!$D$17&lt;0,(+N30+R30+V30+Z30+AC30+AG30+AL30+A30+AS30+AV30+AX30)*Oranges!$D$17/100,IF(Oranges!$D$17&gt;0,(+N30+R30+V30+Z30+AC30+AG30+AL30+A30+AS30+AV30+AX30)*Oranges!$D$17/100,""))</f>
        <v/>
      </c>
      <c r="BA30" s="22">
        <f t="shared" si="4"/>
        <v>26085.372786862878</v>
      </c>
      <c r="BC30" s="22"/>
      <c r="BD30" s="22">
        <f t="shared" si="5"/>
        <v>14334.820385872052</v>
      </c>
      <c r="BF30" s="51">
        <f t="shared" si="6"/>
        <v>24.829899913922667</v>
      </c>
      <c r="BG30" s="141">
        <f t="shared" si="26"/>
        <v>24.829899913922667</v>
      </c>
      <c r="BI30" s="7">
        <f t="shared" si="44"/>
        <v>259.49764016895824</v>
      </c>
      <c r="BJ30" s="7">
        <f t="shared" si="44"/>
        <v>292.62354584829654</v>
      </c>
      <c r="BK30" s="7">
        <f t="shared" si="44"/>
        <v>258.47037459449325</v>
      </c>
      <c r="BL30" s="7">
        <v>120.29086019139086</v>
      </c>
    </row>
    <row r="31" spans="1:64" x14ac:dyDescent="0.2">
      <c r="A31" s="8">
        <f t="shared" si="7"/>
        <v>2045</v>
      </c>
      <c r="B31" s="22">
        <f t="shared" si="43"/>
        <v>1022.9194791288002</v>
      </c>
      <c r="C31" s="22">
        <f t="shared" si="8"/>
        <v>1042.840983856561</v>
      </c>
      <c r="D31" s="22"/>
      <c r="E31" s="22">
        <f t="shared" si="9"/>
        <v>1042.840983856561</v>
      </c>
      <c r="G31" s="15">
        <f t="shared" si="27"/>
        <v>40</v>
      </c>
      <c r="H31" s="15">
        <f t="shared" si="28"/>
        <v>40</v>
      </c>
      <c r="J31" s="20">
        <f t="shared" si="0"/>
        <v>41713.639354262443</v>
      </c>
      <c r="L31" s="54">
        <f t="shared" si="29"/>
        <v>28</v>
      </c>
      <c r="M31" s="7">
        <f t="shared" si="10"/>
        <v>52.842989907594372</v>
      </c>
      <c r="N31" s="7">
        <f t="shared" si="11"/>
        <v>1479.6037174126425</v>
      </c>
      <c r="P31" s="15">
        <f t="shared" si="30"/>
        <v>6</v>
      </c>
      <c r="Q31" s="7">
        <f t="shared" si="12"/>
        <v>12.471043430297605</v>
      </c>
      <c r="R31" s="7">
        <f t="shared" si="13"/>
        <v>74.826260581785633</v>
      </c>
      <c r="T31" s="15">
        <f t="shared" si="31"/>
        <v>54</v>
      </c>
      <c r="U31" s="7">
        <f t="shared" si="14"/>
        <v>21.090735213003306</v>
      </c>
      <c r="V31" s="7">
        <f t="shared" si="15"/>
        <v>1138.8997015021785</v>
      </c>
      <c r="X31" s="14">
        <f t="shared" si="32"/>
        <v>2.2999999999999998</v>
      </c>
      <c r="Y31" s="7">
        <f t="shared" si="16"/>
        <v>52.659592210090011</v>
      </c>
      <c r="Z31" s="22">
        <f t="shared" si="17"/>
        <v>121.11706208320702</v>
      </c>
      <c r="AB31" s="7">
        <f t="shared" si="18"/>
        <v>53.241801712877695</v>
      </c>
      <c r="AC31" s="6">
        <f t="shared" si="1"/>
        <v>2129.6720685151076</v>
      </c>
      <c r="AE31" s="7">
        <f t="shared" si="33"/>
        <v>59.4</v>
      </c>
      <c r="AF31" s="7">
        <f t="shared" si="19"/>
        <v>74.538522398028732</v>
      </c>
      <c r="AG31" s="22">
        <f t="shared" si="20"/>
        <v>4427.5882304429069</v>
      </c>
      <c r="AI31" s="15">
        <f t="shared" si="34"/>
        <v>11</v>
      </c>
      <c r="AJ31" s="7">
        <f t="shared" si="21"/>
        <v>235.68206235158272</v>
      </c>
      <c r="AK31" s="7">
        <f t="shared" si="22"/>
        <v>625.70459031393648</v>
      </c>
      <c r="AL31" s="7">
        <f t="shared" si="35"/>
        <v>3218.2072761813465</v>
      </c>
      <c r="AN31" s="7">
        <f t="shared" si="23"/>
        <v>85.186882740604247</v>
      </c>
      <c r="AO31" s="22">
        <f t="shared" si="2"/>
        <v>3407.4753096241698</v>
      </c>
      <c r="AQ31" s="7">
        <f t="shared" si="36"/>
        <v>6</v>
      </c>
      <c r="AR31" s="7">
        <f t="shared" si="24"/>
        <v>426.5307218822054</v>
      </c>
      <c r="AS31" s="22">
        <f t="shared" si="37"/>
        <v>2559.1843312932324</v>
      </c>
      <c r="AT31" s="7">
        <f t="shared" si="38"/>
        <v>19</v>
      </c>
      <c r="AU31" s="7">
        <f t="shared" si="25"/>
        <v>425.93441370302116</v>
      </c>
      <c r="AV31" s="22">
        <f t="shared" si="39"/>
        <v>8092.7538603574021</v>
      </c>
      <c r="AX31" s="7">
        <f t="shared" si="3"/>
        <v>212</v>
      </c>
      <c r="AY31" t="str">
        <f>IF(Oranges!$D$17&lt;0,(+N31+R31+V31+Z31+AC31+AG31+AL31+A31+AS31+AV31+AX31)*Oranges!$D$17/100,IF(Oranges!$D$17&gt;0,(+N31+R31+V31+Z31+AC31+AG31+AL31+A31+AS31+AV31+AX31)*Oranges!$D$17/100,""))</f>
        <v/>
      </c>
      <c r="BA31" s="22">
        <f t="shared" si="4"/>
        <v>26861.327817993981</v>
      </c>
      <c r="BC31" s="22"/>
      <c r="BD31" s="21">
        <f t="shared" si="5"/>
        <v>14852.311536268462</v>
      </c>
      <c r="BF31" s="51">
        <f t="shared" si="6"/>
        <v>24.777360563661802</v>
      </c>
      <c r="BG31" s="141">
        <f t="shared" si="26"/>
        <v>24.777360563661802</v>
      </c>
      <c r="BI31" s="7">
        <f t="shared" si="44"/>
        <v>267.80156465436488</v>
      </c>
      <c r="BJ31" s="7">
        <f t="shared" si="44"/>
        <v>301.98749931544205</v>
      </c>
      <c r="BK31" s="7">
        <f t="shared" si="44"/>
        <v>266.74142658151703</v>
      </c>
      <c r="BL31" s="7">
        <v>121.88845203697896</v>
      </c>
    </row>
    <row r="32" spans="1:64" x14ac:dyDescent="0.2">
      <c r="A32" s="8">
        <f t="shared" si="7"/>
        <v>2046</v>
      </c>
      <c r="B32" s="22">
        <f t="shared" si="43"/>
        <v>1022.9194791288002</v>
      </c>
      <c r="C32" s="22">
        <f t="shared" si="8"/>
        <v>1076.2118953399709</v>
      </c>
      <c r="D32" s="22"/>
      <c r="E32" s="22">
        <f t="shared" si="9"/>
        <v>1076.2118953399709</v>
      </c>
      <c r="G32" s="15">
        <f t="shared" si="27"/>
        <v>40</v>
      </c>
      <c r="H32" s="15">
        <f t="shared" si="28"/>
        <v>40</v>
      </c>
      <c r="J32" s="22">
        <f t="shared" si="0"/>
        <v>43048.475813598838</v>
      </c>
      <c r="L32" s="54">
        <f t="shared" si="29"/>
        <v>28</v>
      </c>
      <c r="M32" s="7">
        <f t="shared" si="10"/>
        <v>53.638253060982315</v>
      </c>
      <c r="N32" s="7">
        <f t="shared" si="11"/>
        <v>1501.8710857075048</v>
      </c>
      <c r="P32" s="15">
        <f t="shared" si="30"/>
        <v>6</v>
      </c>
      <c r="Q32" s="7">
        <f t="shared" si="12"/>
        <v>12.658727006525208</v>
      </c>
      <c r="R32" s="7">
        <f t="shared" si="13"/>
        <v>75.95236203915124</v>
      </c>
      <c r="T32" s="15">
        <f t="shared" si="31"/>
        <v>54</v>
      </c>
      <c r="U32" s="7">
        <f t="shared" si="14"/>
        <v>21.408141261035283</v>
      </c>
      <c r="V32" s="7">
        <f t="shared" si="15"/>
        <v>1156.0396280959053</v>
      </c>
      <c r="X32" s="14">
        <f t="shared" si="32"/>
        <v>2.2999999999999998</v>
      </c>
      <c r="Y32" s="7">
        <f t="shared" si="16"/>
        <v>53.452095310886371</v>
      </c>
      <c r="Z32" s="22">
        <f t="shared" si="17"/>
        <v>122.93981921503864</v>
      </c>
      <c r="AB32" s="7">
        <f t="shared" si="18"/>
        <v>54.945539367689783</v>
      </c>
      <c r="AC32" s="6">
        <f t="shared" si="1"/>
        <v>2197.8215747075915</v>
      </c>
      <c r="AE32" s="7">
        <f t="shared" si="33"/>
        <v>59.4</v>
      </c>
      <c r="AF32" s="7">
        <f t="shared" si="19"/>
        <v>76.923755114765655</v>
      </c>
      <c r="AG32" s="22">
        <f t="shared" si="20"/>
        <v>4569.2710538170795</v>
      </c>
      <c r="AI32" s="15">
        <f t="shared" si="34"/>
        <v>11</v>
      </c>
      <c r="AJ32" s="7">
        <f t="shared" si="21"/>
        <v>243.22388834683335</v>
      </c>
      <c r="AK32" s="7">
        <f t="shared" si="22"/>
        <v>645.72713720398235</v>
      </c>
      <c r="AL32" s="7">
        <f t="shared" si="35"/>
        <v>3321.1899090191491</v>
      </c>
      <c r="AN32" s="7">
        <f t="shared" si="23"/>
        <v>87.912862988303587</v>
      </c>
      <c r="AO32" s="22">
        <f t="shared" si="2"/>
        <v>3516.5145195321434</v>
      </c>
      <c r="AQ32" s="7">
        <f t="shared" si="36"/>
        <v>6</v>
      </c>
      <c r="AR32" s="7">
        <f t="shared" si="24"/>
        <v>440.17970498243602</v>
      </c>
      <c r="AS32" s="22">
        <f t="shared" si="37"/>
        <v>2641.078229894616</v>
      </c>
      <c r="AT32" s="7">
        <f t="shared" si="38"/>
        <v>19</v>
      </c>
      <c r="AU32" s="7">
        <f t="shared" si="25"/>
        <v>439.56431494151786</v>
      </c>
      <c r="AV32" s="22">
        <f t="shared" si="39"/>
        <v>8351.7219838888395</v>
      </c>
      <c r="AX32" s="7">
        <f t="shared" si="3"/>
        <v>212</v>
      </c>
      <c r="AY32" t="str">
        <f>IF(Oranges!$D$17&lt;0,(+N32+R32+V32+Z32+AC32+AG32+AL32+A32+AS32+AV32+AX32)*Oranges!$D$17/100,IF(Oranges!$D$17&gt;0,(+N32+R32+V32+Z32+AC32+AG32+AL32+A32+AS32+AV32+AX32)*Oranges!$D$17/100,""))</f>
        <v/>
      </c>
      <c r="BA32" s="22">
        <f t="shared" si="4"/>
        <v>27666.400165917024</v>
      </c>
      <c r="BC32" s="22"/>
      <c r="BD32" s="21">
        <f t="shared" si="5"/>
        <v>15382.075647681813</v>
      </c>
      <c r="BF32" s="51">
        <f t="shared" si="6"/>
        <v>24.730647831010049</v>
      </c>
      <c r="BG32" s="141">
        <f t="shared" si="26"/>
        <v>24.730647831010049</v>
      </c>
      <c r="BI32" s="7">
        <f t="shared" si="44"/>
        <v>276.37121472330455</v>
      </c>
      <c r="BJ32" s="7">
        <f t="shared" si="44"/>
        <v>311.65109929353622</v>
      </c>
      <c r="BK32" s="7">
        <f t="shared" si="44"/>
        <v>275.27715223212556</v>
      </c>
      <c r="BL32" s="7">
        <v>123.72281823953503</v>
      </c>
    </row>
    <row r="33" spans="1:64" x14ac:dyDescent="0.2">
      <c r="A33" s="8">
        <f t="shared" si="7"/>
        <v>2047</v>
      </c>
      <c r="B33" s="22">
        <f t="shared" si="43"/>
        <v>1022.9194791288002</v>
      </c>
      <c r="C33" s="22">
        <f t="shared" si="8"/>
        <v>1110.65067599085</v>
      </c>
      <c r="D33" s="22"/>
      <c r="E33" s="22">
        <f t="shared" si="9"/>
        <v>1110.65067599085</v>
      </c>
      <c r="G33" s="15">
        <f t="shared" si="27"/>
        <v>40</v>
      </c>
      <c r="H33" s="15">
        <f t="shared" si="28"/>
        <v>40</v>
      </c>
      <c r="J33" s="22">
        <f t="shared" si="0"/>
        <v>44426.027039633998</v>
      </c>
      <c r="L33" s="54">
        <f t="shared" si="29"/>
        <v>28</v>
      </c>
      <c r="M33" s="7">
        <f t="shared" si="10"/>
        <v>54.47719746391919</v>
      </c>
      <c r="N33" s="7">
        <f t="shared" si="11"/>
        <v>1525.3615289897373</v>
      </c>
      <c r="P33" s="15">
        <f t="shared" si="30"/>
        <v>6</v>
      </c>
      <c r="Q33" s="7">
        <f t="shared" si="12"/>
        <v>12.85671943850013</v>
      </c>
      <c r="R33" s="7">
        <f t="shared" si="13"/>
        <v>77.140316631000786</v>
      </c>
      <c r="T33" s="15">
        <f t="shared" si="31"/>
        <v>54</v>
      </c>
      <c r="U33" s="7">
        <f t="shared" si="14"/>
        <v>21.742981403345809</v>
      </c>
      <c r="V33" s="7">
        <f t="shared" si="15"/>
        <v>1174.1209957806736</v>
      </c>
      <c r="X33" s="14">
        <f t="shared" si="32"/>
        <v>2.2999999999999998</v>
      </c>
      <c r="Y33" s="7">
        <f t="shared" si="16"/>
        <v>54.28812806041185</v>
      </c>
      <c r="Z33" s="22">
        <f t="shared" si="17"/>
        <v>124.86269453894725</v>
      </c>
      <c r="AB33" s="7">
        <f t="shared" si="18"/>
        <v>56.703796627455858</v>
      </c>
      <c r="AC33" s="6">
        <f t="shared" si="1"/>
        <v>2268.1518650982343</v>
      </c>
      <c r="AE33" s="7">
        <f t="shared" si="33"/>
        <v>59.4</v>
      </c>
      <c r="AF33" s="7">
        <f t="shared" si="19"/>
        <v>79.385315278438156</v>
      </c>
      <c r="AG33" s="22">
        <f t="shared" si="20"/>
        <v>4715.4877275392264</v>
      </c>
      <c r="AI33" s="15">
        <f t="shared" si="34"/>
        <v>11</v>
      </c>
      <c r="AJ33" s="7">
        <f t="shared" si="21"/>
        <v>251.007052773932</v>
      </c>
      <c r="AK33" s="7">
        <f t="shared" si="22"/>
        <v>666.39040559450984</v>
      </c>
      <c r="AL33" s="7">
        <f t="shared" si="35"/>
        <v>3427.467986107762</v>
      </c>
      <c r="AN33" s="7">
        <f t="shared" si="23"/>
        <v>90.726074603929305</v>
      </c>
      <c r="AO33" s="22">
        <f t="shared" si="2"/>
        <v>3629.0429841571722</v>
      </c>
      <c r="AQ33" s="7">
        <f t="shared" si="36"/>
        <v>6</v>
      </c>
      <c r="AR33" s="7">
        <f t="shared" si="24"/>
        <v>454.26545554187402</v>
      </c>
      <c r="AS33" s="22">
        <f t="shared" si="37"/>
        <v>2725.5927332512442</v>
      </c>
      <c r="AT33" s="7">
        <f t="shared" si="38"/>
        <v>19</v>
      </c>
      <c r="AU33" s="7">
        <f t="shared" si="25"/>
        <v>453.63037301964641</v>
      </c>
      <c r="AV33" s="22">
        <f t="shared" si="39"/>
        <v>8618.9770873732814</v>
      </c>
      <c r="AX33" s="7">
        <f t="shared" si="3"/>
        <v>212</v>
      </c>
      <c r="AY33" t="str">
        <f>IF(Oranges!$D$17&lt;0,(+N33+R33+V33+Z33+AC33+AG33+AL33+A33+AS33+AV33+AX33)*Oranges!$D$17/100,IF(Oranges!$D$17&gt;0,(+N33+R33+V33+Z33+AC33+AG33+AL33+A33+AS33+AV33+AX33)*Oranges!$D$17/100,""))</f>
        <v/>
      </c>
      <c r="BA33" s="22">
        <f t="shared" si="4"/>
        <v>28498.20591946728</v>
      </c>
      <c r="BC33" s="22"/>
      <c r="BD33" s="22">
        <f t="shared" si="5"/>
        <v>15927.821120166718</v>
      </c>
      <c r="BF33" s="51">
        <f t="shared" si="6"/>
        <v>24.686304939850945</v>
      </c>
      <c r="BG33" s="141">
        <f t="shared" si="26"/>
        <v>24.686304939850945</v>
      </c>
      <c r="BI33" s="7">
        <f t="shared" si="44"/>
        <v>285.21509359445031</v>
      </c>
      <c r="BJ33" s="7">
        <f t="shared" si="44"/>
        <v>321.62393447092938</v>
      </c>
      <c r="BK33" s="7">
        <f t="shared" si="44"/>
        <v>284.08602110355355</v>
      </c>
      <c r="BL33" s="7">
        <v>125.65794028311885</v>
      </c>
    </row>
    <row r="34" spans="1:64" x14ac:dyDescent="0.2">
      <c r="A34" s="8">
        <f t="shared" si="7"/>
        <v>2048</v>
      </c>
      <c r="B34" s="22">
        <f t="shared" si="43"/>
        <v>1022.9194791288002</v>
      </c>
      <c r="C34" s="22">
        <f t="shared" si="8"/>
        <v>1146.1914976225571</v>
      </c>
      <c r="D34" s="22"/>
      <c r="E34" s="22">
        <f t="shared" si="9"/>
        <v>1146.1914976225571</v>
      </c>
      <c r="G34" s="15">
        <f t="shared" si="27"/>
        <v>40</v>
      </c>
      <c r="H34" s="15">
        <f t="shared" si="28"/>
        <v>40</v>
      </c>
      <c r="J34" s="20">
        <f t="shared" si="0"/>
        <v>45847.659904902284</v>
      </c>
      <c r="L34" s="54">
        <f t="shared" si="29"/>
        <v>28</v>
      </c>
      <c r="M34" s="7">
        <f t="shared" si="10"/>
        <v>55.344846463689102</v>
      </c>
      <c r="N34" s="7">
        <f t="shared" si="11"/>
        <v>1549.6557009832948</v>
      </c>
      <c r="P34" s="15">
        <f t="shared" si="30"/>
        <v>6</v>
      </c>
      <c r="Q34" s="7">
        <f t="shared" si="12"/>
        <v>13.06148620845971</v>
      </c>
      <c r="R34" s="7">
        <f t="shared" si="13"/>
        <v>78.368917250758258</v>
      </c>
      <c r="T34" s="15">
        <f t="shared" si="31"/>
        <v>54</v>
      </c>
      <c r="U34" s="7">
        <f t="shared" si="14"/>
        <v>22.089278146659808</v>
      </c>
      <c r="V34" s="7">
        <f t="shared" si="15"/>
        <v>1192.8210199196296</v>
      </c>
      <c r="X34" s="14">
        <f t="shared" si="32"/>
        <v>2.2999999999999998</v>
      </c>
      <c r="Y34" s="7">
        <f t="shared" si="16"/>
        <v>55.15276578415294</v>
      </c>
      <c r="Z34" s="22">
        <f t="shared" si="17"/>
        <v>126.85136130355176</v>
      </c>
      <c r="AB34" s="7">
        <f t="shared" si="18"/>
        <v>58.518318119534449</v>
      </c>
      <c r="AC34" s="6">
        <f t="shared" si="1"/>
        <v>2340.7327247813778</v>
      </c>
      <c r="AE34" s="7">
        <f t="shared" si="33"/>
        <v>59.4</v>
      </c>
      <c r="AF34" s="7">
        <f t="shared" si="19"/>
        <v>81.925645367348181</v>
      </c>
      <c r="AG34" s="22">
        <f t="shared" si="20"/>
        <v>4866.3833348204817</v>
      </c>
      <c r="AI34" s="15">
        <f t="shared" si="34"/>
        <v>11</v>
      </c>
      <c r="AJ34" s="7">
        <f t="shared" si="21"/>
        <v>259.03927846269784</v>
      </c>
      <c r="AK34" s="7">
        <f t="shared" si="22"/>
        <v>687.71489857353413</v>
      </c>
      <c r="AL34" s="7">
        <f t="shared" si="35"/>
        <v>3537.1469616632103</v>
      </c>
      <c r="AN34" s="7">
        <f t="shared" si="23"/>
        <v>93.629308991255044</v>
      </c>
      <c r="AO34" s="22">
        <f t="shared" si="2"/>
        <v>3745.1723596502015</v>
      </c>
      <c r="AQ34" s="7">
        <f t="shared" si="36"/>
        <v>6</v>
      </c>
      <c r="AR34" s="7">
        <f t="shared" si="24"/>
        <v>468.80195011921404</v>
      </c>
      <c r="AS34" s="22">
        <f t="shared" si="37"/>
        <v>2812.8117007152841</v>
      </c>
      <c r="AT34" s="7">
        <f t="shared" si="38"/>
        <v>19</v>
      </c>
      <c r="AU34" s="7">
        <f t="shared" si="25"/>
        <v>468.14654495627508</v>
      </c>
      <c r="AV34" s="22">
        <f t="shared" si="39"/>
        <v>8894.7843541692273</v>
      </c>
      <c r="AX34" s="7">
        <f t="shared" si="3"/>
        <v>212</v>
      </c>
      <c r="AY34" t="str">
        <f>IF(Oranges!$D$17&lt;0,(+N34+R34+V34+Z34+AC34+AG34+AL34+A34+AS34+AV34+AX34)*Oranges!$D$17/100,IF(Oranges!$D$17&gt;0,(+N34+R34+V34+Z34+AC34+AG34+AL34+A34+AS34+AV34+AX34)*Oranges!$D$17/100,""))</f>
        <v/>
      </c>
      <c r="BA34" s="22">
        <f t="shared" si="4"/>
        <v>29356.728435257017</v>
      </c>
      <c r="BC34" s="22"/>
      <c r="BD34" s="21">
        <f t="shared" si="5"/>
        <v>16490.931469645267</v>
      </c>
      <c r="BF34" s="51">
        <f t="shared" si="6"/>
        <v>24.643428021938412</v>
      </c>
      <c r="BG34" s="141">
        <f t="shared" si="26"/>
        <v>24.643428021938412</v>
      </c>
      <c r="BI34" s="7">
        <f t="shared" si="44"/>
        <v>294.34197658947272</v>
      </c>
      <c r="BJ34" s="7">
        <f t="shared" si="44"/>
        <v>331.91590037399914</v>
      </c>
      <c r="BK34" s="7">
        <f t="shared" si="44"/>
        <v>293.17677377886724</v>
      </c>
      <c r="BL34" s="7">
        <v>127.65927279057767</v>
      </c>
    </row>
    <row r="35" spans="1:64" x14ac:dyDescent="0.2">
      <c r="A35" s="8">
        <f t="shared" si="7"/>
        <v>2049</v>
      </c>
      <c r="B35" s="22">
        <f t="shared" si="43"/>
        <v>1022.9194791288002</v>
      </c>
      <c r="C35" s="22">
        <f t="shared" si="8"/>
        <v>1182.869625546479</v>
      </c>
      <c r="D35" s="22"/>
      <c r="E35" s="22">
        <f t="shared" si="9"/>
        <v>1182.869625546479</v>
      </c>
      <c r="G35" s="15">
        <f t="shared" si="27"/>
        <v>40</v>
      </c>
      <c r="H35" s="15">
        <f t="shared" si="28"/>
        <v>40</v>
      </c>
      <c r="J35" s="22">
        <f t="shared" si="0"/>
        <v>47314.785021859163</v>
      </c>
      <c r="L35" s="54">
        <f t="shared" si="29"/>
        <v>28</v>
      </c>
      <c r="M35" s="7">
        <f t="shared" si="10"/>
        <v>56.18894739212697</v>
      </c>
      <c r="N35" s="7">
        <f t="shared" si="11"/>
        <v>1573.2905269795551</v>
      </c>
      <c r="P35" s="15">
        <f t="shared" si="30"/>
        <v>6</v>
      </c>
      <c r="Q35" s="7">
        <f t="shared" si="12"/>
        <v>13.260695589997571</v>
      </c>
      <c r="R35" s="7">
        <f t="shared" si="13"/>
        <v>79.564173539985433</v>
      </c>
      <c r="T35" s="15">
        <f t="shared" si="31"/>
        <v>54</v>
      </c>
      <c r="U35" s="7">
        <f t="shared" si="14"/>
        <v>22.426176365437072</v>
      </c>
      <c r="V35" s="7">
        <f t="shared" si="15"/>
        <v>1211.0135237336019</v>
      </c>
      <c r="X35" s="14">
        <f t="shared" si="32"/>
        <v>2.2999999999999998</v>
      </c>
      <c r="Y35" s="7">
        <f t="shared" si="16"/>
        <v>55.993937162862316</v>
      </c>
      <c r="Z35" s="22">
        <f t="shared" si="17"/>
        <v>128.78605547458332</v>
      </c>
      <c r="AB35" s="7">
        <f t="shared" si="18"/>
        <v>60.390904299359555</v>
      </c>
      <c r="AC35" s="6">
        <f t="shared" si="1"/>
        <v>2415.6361719743823</v>
      </c>
      <c r="AE35" s="7">
        <f t="shared" si="33"/>
        <v>59.4</v>
      </c>
      <c r="AF35" s="7">
        <f t="shared" si="19"/>
        <v>84.547266019103319</v>
      </c>
      <c r="AG35" s="22">
        <f t="shared" si="20"/>
        <v>5022.1076015347371</v>
      </c>
      <c r="AI35" s="15">
        <f t="shared" si="34"/>
        <v>11</v>
      </c>
      <c r="AJ35" s="7">
        <f t="shared" si="21"/>
        <v>267.32853537350417</v>
      </c>
      <c r="AK35" s="7">
        <f t="shared" si="22"/>
        <v>709.72177532788726</v>
      </c>
      <c r="AL35" s="7">
        <f t="shared" si="35"/>
        <v>3650.335664436433</v>
      </c>
      <c r="AN35" s="7">
        <f t="shared" si="23"/>
        <v>96.625446878975211</v>
      </c>
      <c r="AO35" s="22">
        <f t="shared" si="2"/>
        <v>3865.0178751590083</v>
      </c>
      <c r="AQ35" s="7">
        <f t="shared" si="36"/>
        <v>6</v>
      </c>
      <c r="AR35" s="7">
        <f t="shared" si="24"/>
        <v>483.8036125230289</v>
      </c>
      <c r="AS35" s="22">
        <f t="shared" si="37"/>
        <v>2902.8216751381733</v>
      </c>
      <c r="AT35" s="7">
        <f t="shared" si="38"/>
        <v>19</v>
      </c>
      <c r="AU35" s="7">
        <f t="shared" si="25"/>
        <v>483.12723439487587</v>
      </c>
      <c r="AV35" s="22">
        <f t="shared" si="39"/>
        <v>9179.4174535026414</v>
      </c>
      <c r="AX35" s="7">
        <f t="shared" si="3"/>
        <v>212</v>
      </c>
      <c r="AY35" t="str">
        <f>IF(Oranges!$D$17&lt;0,(+N35+R35+V35+Z35+AC35+AG35+AL35+A35+AS35+AV35+AX35)*Oranges!$D$17/100,IF(Oranges!$D$17&gt;0,(+N35+R35+V35+Z35+AC35+AG35+AL35+A35+AS35+AV35+AX35)*Oranges!$D$17/100,""))</f>
        <v/>
      </c>
      <c r="BA35" s="22">
        <f t="shared" si="4"/>
        <v>30239.990721473099</v>
      </c>
      <c r="BC35" s="22"/>
      <c r="BD35" s="22">
        <f t="shared" si="5"/>
        <v>17074.794300386064</v>
      </c>
      <c r="BF35" s="51">
        <f t="shared" si="6"/>
        <v>24.599445875303786</v>
      </c>
      <c r="BG35" s="141">
        <f t="shared" si="26"/>
        <v>24.599445875303786</v>
      </c>
      <c r="BI35" s="7">
        <f t="shared" si="44"/>
        <v>303.76091984033587</v>
      </c>
      <c r="BJ35" s="7">
        <f t="shared" si="44"/>
        <v>342.53720918596713</v>
      </c>
      <c r="BK35" s="7">
        <f t="shared" si="44"/>
        <v>302.558430539791</v>
      </c>
      <c r="BL35" s="7">
        <v>129.60628895507148</v>
      </c>
    </row>
    <row r="36" spans="1:64" x14ac:dyDescent="0.2">
      <c r="A36" s="8">
        <f t="shared" si="7"/>
        <v>2050</v>
      </c>
      <c r="B36" s="22">
        <f t="shared" si="43"/>
        <v>1022.9194791288002</v>
      </c>
      <c r="C36" s="22">
        <f t="shared" si="8"/>
        <v>1220.7214535639662</v>
      </c>
      <c r="D36" s="22"/>
      <c r="E36" s="22">
        <f t="shared" si="9"/>
        <v>1220.7214535639662</v>
      </c>
      <c r="G36" s="15">
        <f t="shared" si="27"/>
        <v>40</v>
      </c>
      <c r="H36" s="15">
        <f t="shared" si="28"/>
        <v>40</v>
      </c>
      <c r="J36" s="22">
        <f t="shared" si="0"/>
        <v>48828.858142558645</v>
      </c>
      <c r="L36" s="54">
        <f t="shared" si="29"/>
        <v>28</v>
      </c>
      <c r="M36" s="7">
        <f t="shared" si="10"/>
        <v>56.992654844207415</v>
      </c>
      <c r="N36" s="7">
        <f t="shared" si="11"/>
        <v>1595.7943356378075</v>
      </c>
      <c r="P36" s="15">
        <f t="shared" si="30"/>
        <v>6</v>
      </c>
      <c r="Q36" s="7">
        <f t="shared" si="12"/>
        <v>13.450372036346959</v>
      </c>
      <c r="R36" s="7">
        <f t="shared" si="13"/>
        <v>80.702232218081747</v>
      </c>
      <c r="T36" s="15">
        <f t="shared" si="31"/>
        <v>54</v>
      </c>
      <c r="U36" s="7">
        <f t="shared" si="14"/>
        <v>22.746952708527949</v>
      </c>
      <c r="V36" s="7">
        <f t="shared" si="15"/>
        <v>1228.3354462605093</v>
      </c>
      <c r="X36" s="14">
        <f t="shared" si="32"/>
        <v>2.2999999999999998</v>
      </c>
      <c r="Y36" s="7">
        <f t="shared" si="16"/>
        <v>56.794855255437625</v>
      </c>
      <c r="Z36" s="22">
        <f t="shared" si="17"/>
        <v>130.62816708750654</v>
      </c>
      <c r="AB36" s="7">
        <f t="shared" si="18"/>
        <v>62.323413236939061</v>
      </c>
      <c r="AC36" s="6">
        <f t="shared" si="1"/>
        <v>2492.9365294775625</v>
      </c>
      <c r="AE36" s="7">
        <f t="shared" si="33"/>
        <v>59.4</v>
      </c>
      <c r="AF36" s="7">
        <f t="shared" si="19"/>
        <v>87.252778531714625</v>
      </c>
      <c r="AG36" s="22">
        <f t="shared" si="20"/>
        <v>5182.8150447838489</v>
      </c>
      <c r="AI36" s="15">
        <f t="shared" si="34"/>
        <v>11</v>
      </c>
      <c r="AJ36" s="7">
        <f t="shared" si="21"/>
        <v>275.88304850545632</v>
      </c>
      <c r="AK36" s="7">
        <f t="shared" si="22"/>
        <v>732.43287213837971</v>
      </c>
      <c r="AL36" s="7">
        <f t="shared" si="35"/>
        <v>3767.1464056983996</v>
      </c>
      <c r="AN36" s="7">
        <f t="shared" si="23"/>
        <v>99.717461179102401</v>
      </c>
      <c r="AO36" s="22">
        <f t="shared" si="2"/>
        <v>3988.6984471640963</v>
      </c>
      <c r="AQ36" s="7">
        <f t="shared" si="36"/>
        <v>6</v>
      </c>
      <c r="AR36" s="7">
        <f t="shared" si="24"/>
        <v>499.28532812376579</v>
      </c>
      <c r="AS36" s="22">
        <f t="shared" si="37"/>
        <v>2995.7119687425948</v>
      </c>
      <c r="AT36" s="7">
        <f t="shared" si="38"/>
        <v>19</v>
      </c>
      <c r="AU36" s="7">
        <f t="shared" si="25"/>
        <v>498.58730589551192</v>
      </c>
      <c r="AV36" s="22">
        <f t="shared" si="39"/>
        <v>9473.1588120147262</v>
      </c>
      <c r="AX36" s="7">
        <f t="shared" si="3"/>
        <v>212</v>
      </c>
      <c r="AY36" t="str">
        <f>IF(Oranges!$D$17&lt;0,(+N36+R36+V36+Z36+AC36+AG36+AL36+A36+AS36+AV36+AX36)*Oranges!$D$17/100,IF(Oranges!$D$17&gt;0,(+N36+R36+V36+Z36+AC36+AG36+AL36+A36+AS36+AV36+AX36)*Oranges!$D$17/100,""))</f>
        <v/>
      </c>
      <c r="BA36" s="22">
        <f t="shared" si="4"/>
        <v>31147.927389085133</v>
      </c>
      <c r="BC36" s="22"/>
      <c r="BD36" s="21">
        <f t="shared" si="5"/>
        <v>17680.930753473513</v>
      </c>
      <c r="BF36" s="51">
        <f t="shared" si="6"/>
        <v>24.553728398554469</v>
      </c>
      <c r="BG36" s="141">
        <f t="shared" si="26"/>
        <v>24.553728398554469</v>
      </c>
      <c r="BI36" s="7">
        <f t="shared" si="44"/>
        <v>313.48126927522662</v>
      </c>
      <c r="BJ36" s="7">
        <f t="shared" si="44"/>
        <v>353.49839987991805</v>
      </c>
      <c r="BK36" s="7">
        <f t="shared" si="44"/>
        <v>312.24030031706434</v>
      </c>
      <c r="BL36" s="7">
        <v>131.46013290667179</v>
      </c>
    </row>
    <row r="37" spans="1:64" s="100" customFormat="1" x14ac:dyDescent="0.2">
      <c r="A37" s="100">
        <f t="shared" si="7"/>
        <v>2051</v>
      </c>
      <c r="B37" s="112">
        <f t="shared" si="43"/>
        <v>1022.9194791288002</v>
      </c>
      <c r="C37" s="112">
        <f t="shared" si="8"/>
        <v>1259.7845400780134</v>
      </c>
      <c r="D37" s="112"/>
      <c r="E37" s="112">
        <f t="shared" si="9"/>
        <v>1259.7845400780134</v>
      </c>
      <c r="G37" s="15">
        <f t="shared" si="27"/>
        <v>40</v>
      </c>
      <c r="H37" s="15">
        <f t="shared" si="28"/>
        <v>40</v>
      </c>
      <c r="J37" s="112">
        <f t="shared" si="0"/>
        <v>50391.381603120535</v>
      </c>
      <c r="L37" s="105">
        <f t="shared" si="29"/>
        <v>28</v>
      </c>
      <c r="M37" s="111">
        <f t="shared" si="10"/>
        <v>57.716300428379071</v>
      </c>
      <c r="N37" s="111">
        <f t="shared" si="11"/>
        <v>1616.0564119946139</v>
      </c>
      <c r="P37" s="110">
        <f t="shared" si="30"/>
        <v>6</v>
      </c>
      <c r="Q37" s="111">
        <f t="shared" si="12"/>
        <v>13.621153733675763</v>
      </c>
      <c r="R37" s="111">
        <f t="shared" si="13"/>
        <v>81.726922402054583</v>
      </c>
      <c r="T37" s="110">
        <f t="shared" si="31"/>
        <v>54</v>
      </c>
      <c r="U37" s="111">
        <f t="shared" si="14"/>
        <v>23.035774696657544</v>
      </c>
      <c r="V37" s="111">
        <f t="shared" si="15"/>
        <v>1243.9318336195074</v>
      </c>
      <c r="X37" s="109">
        <f t="shared" si="32"/>
        <v>2.2999999999999998</v>
      </c>
      <c r="Y37" s="111">
        <f t="shared" si="16"/>
        <v>57.51598934406033</v>
      </c>
      <c r="Z37" s="112">
        <f t="shared" si="17"/>
        <v>132.28677549133874</v>
      </c>
      <c r="AB37" s="111">
        <f t="shared" si="18"/>
        <v>64.317762460521109</v>
      </c>
      <c r="AC37" s="6">
        <f t="shared" si="1"/>
        <v>2572.7104984208445</v>
      </c>
      <c r="AE37" s="111">
        <f t="shared" si="33"/>
        <v>59.4</v>
      </c>
      <c r="AF37" s="111">
        <f t="shared" si="19"/>
        <v>90.044867444729491</v>
      </c>
      <c r="AG37" s="112">
        <f t="shared" si="20"/>
        <v>5348.6651262169316</v>
      </c>
      <c r="AI37" s="110">
        <f t="shared" si="34"/>
        <v>11</v>
      </c>
      <c r="AJ37" s="111">
        <f t="shared" si="21"/>
        <v>284.71130605763091</v>
      </c>
      <c r="AK37" s="111">
        <f t="shared" si="22"/>
        <v>755.87072404680794</v>
      </c>
      <c r="AL37" s="111">
        <f t="shared" si="35"/>
        <v>3887.6950906807479</v>
      </c>
      <c r="AN37" s="111">
        <f t="shared" si="23"/>
        <v>102.90841993683367</v>
      </c>
      <c r="AO37" s="112">
        <f t="shared" si="2"/>
        <v>4116.3367974733465</v>
      </c>
      <c r="AQ37" s="111">
        <f t="shared" si="36"/>
        <v>6</v>
      </c>
      <c r="AR37" s="111">
        <f t="shared" si="24"/>
        <v>515.26245862372627</v>
      </c>
      <c r="AS37" s="112">
        <f t="shared" si="37"/>
        <v>3091.5747517423579</v>
      </c>
      <c r="AT37" s="111">
        <f t="shared" si="38"/>
        <v>19</v>
      </c>
      <c r="AU37" s="111">
        <f t="shared" si="25"/>
        <v>514.54209968416831</v>
      </c>
      <c r="AV37" s="112">
        <f t="shared" si="39"/>
        <v>9776.2998939991976</v>
      </c>
      <c r="AX37" s="111">
        <f t="shared" si="3"/>
        <v>212</v>
      </c>
      <c r="AY37" s="100" t="str">
        <f>IF(Oranges!$D$17&lt;0,(+N37+R37+V37+Z37+AC37+AG37+AL37+A37+AS37+AV37+AX37)*Oranges!$D$17/100,IF(Oranges!$D$17&gt;0,(+N37+R37+V37+Z37+AC37+AG37+AL37+A37+AS37+AV37+AX37)*Oranges!$D$17/100,""))</f>
        <v/>
      </c>
      <c r="BA37" s="112">
        <f t="shared" si="4"/>
        <v>32079.28410204094</v>
      </c>
      <c r="BC37" s="112"/>
      <c r="BD37" s="112">
        <f t="shared" si="5"/>
        <v>18312.097501079596</v>
      </c>
      <c r="BF37" s="110">
        <f t="shared" si="6"/>
        <v>24.504715774705822</v>
      </c>
      <c r="BG37" s="141">
        <f t="shared" si="26"/>
        <v>24.504715774705822</v>
      </c>
      <c r="BI37" s="111">
        <f t="shared" si="44"/>
        <v>323.5126698920339</v>
      </c>
      <c r="BJ37" s="111">
        <f t="shared" si="44"/>
        <v>364.81034867607542</v>
      </c>
      <c r="BK37" s="111">
        <f t="shared" si="44"/>
        <v>322.23198992721041</v>
      </c>
      <c r="BL37" s="111">
        <v>133.12930492423399</v>
      </c>
    </row>
    <row r="38" spans="1:64" s="100" customFormat="1" x14ac:dyDescent="0.2">
      <c r="A38" s="100">
        <f t="shared" si="7"/>
        <v>2052</v>
      </c>
      <c r="B38" s="112">
        <f t="shared" si="43"/>
        <v>1022.9194791288002</v>
      </c>
      <c r="C38" s="112">
        <f t="shared" si="8"/>
        <v>1300.0976453605099</v>
      </c>
      <c r="D38" s="112"/>
      <c r="E38" s="112">
        <f t="shared" si="9"/>
        <v>1300.0976453605099</v>
      </c>
      <c r="G38" s="15">
        <f t="shared" si="27"/>
        <v>40</v>
      </c>
      <c r="H38" s="15">
        <f t="shared" si="28"/>
        <v>40</v>
      </c>
      <c r="J38" s="112">
        <f t="shared" si="0"/>
        <v>52003.905814420395</v>
      </c>
      <c r="L38" s="105">
        <f t="shared" si="29"/>
        <v>28</v>
      </c>
      <c r="M38" s="111">
        <f t="shared" si="10"/>
        <v>58.350387352445573</v>
      </c>
      <c r="N38" s="111">
        <f t="shared" si="11"/>
        <v>1633.810845868476</v>
      </c>
      <c r="P38" s="110">
        <f t="shared" si="30"/>
        <v>6</v>
      </c>
      <c r="Q38" s="111">
        <f t="shared" si="12"/>
        <v>13.770799421447126</v>
      </c>
      <c r="R38" s="111">
        <f t="shared" si="13"/>
        <v>82.624796528682765</v>
      </c>
      <c r="T38" s="110">
        <f t="shared" si="31"/>
        <v>54</v>
      </c>
      <c r="U38" s="111">
        <f t="shared" si="14"/>
        <v>23.288851962741468</v>
      </c>
      <c r="V38" s="111">
        <f t="shared" si="15"/>
        <v>1257.5980059880392</v>
      </c>
      <c r="X38" s="109">
        <f t="shared" si="32"/>
        <v>2.2999999999999998</v>
      </c>
      <c r="Y38" s="111">
        <f t="shared" si="16"/>
        <v>58.147875596247836</v>
      </c>
      <c r="Z38" s="112">
        <f t="shared" si="17"/>
        <v>133.74011387137</v>
      </c>
      <c r="AB38" s="111">
        <f t="shared" si="18"/>
        <v>66.375930859257792</v>
      </c>
      <c r="AC38" s="6">
        <f t="shared" si="1"/>
        <v>2655.0372343703116</v>
      </c>
      <c r="AE38" s="111">
        <f t="shared" si="33"/>
        <v>59.4</v>
      </c>
      <c r="AF38" s="111">
        <f t="shared" si="19"/>
        <v>92.926303202960838</v>
      </c>
      <c r="AG38" s="112">
        <f t="shared" si="20"/>
        <v>5519.8224102558734</v>
      </c>
      <c r="AI38" s="110">
        <f t="shared" si="34"/>
        <v>11</v>
      </c>
      <c r="AJ38" s="111">
        <f t="shared" si="21"/>
        <v>293.82206785147508</v>
      </c>
      <c r="AK38" s="111">
        <f t="shared" si="22"/>
        <v>780.0585872163058</v>
      </c>
      <c r="AL38" s="111">
        <f t="shared" si="35"/>
        <v>4012.1013335825319</v>
      </c>
      <c r="AN38" s="111">
        <f t="shared" si="23"/>
        <v>106.20148937481234</v>
      </c>
      <c r="AO38" s="112">
        <f t="shared" si="2"/>
        <v>4248.0595749924933</v>
      </c>
      <c r="AQ38" s="111">
        <f t="shared" si="36"/>
        <v>6</v>
      </c>
      <c r="AR38" s="111">
        <f t="shared" si="24"/>
        <v>531.75085729968544</v>
      </c>
      <c r="AS38" s="112">
        <f t="shared" si="37"/>
        <v>3190.5051437981128</v>
      </c>
      <c r="AT38" s="111">
        <f t="shared" si="38"/>
        <v>19</v>
      </c>
      <c r="AU38" s="111">
        <f t="shared" si="25"/>
        <v>531.00744687406166</v>
      </c>
      <c r="AV38" s="112">
        <f t="shared" si="39"/>
        <v>10089.141490607171</v>
      </c>
      <c r="AX38" s="111">
        <f t="shared" si="3"/>
        <v>212</v>
      </c>
      <c r="AY38" s="100" t="str">
        <f>IF(Oranges!$D$17&lt;0,(+N38+R38+V38+Z38+AC38+AG38+AL38+A38+AS38+AV38+AX38)*Oranges!$D$17/100,IF(Oranges!$D$17&gt;0,(+N38+R38+V38+Z38+AC38+AG38+AL38+A38+AS38+AV38+AX38)*Oranges!$D$17/100,""))</f>
        <v/>
      </c>
      <c r="BA38" s="112">
        <f t="shared" si="4"/>
        <v>33034.440949863063</v>
      </c>
      <c r="BC38" s="112"/>
      <c r="BD38" s="112">
        <f t="shared" si="5"/>
        <v>18969.464864557332</v>
      </c>
      <c r="BF38" s="110">
        <f t="shared" si="6"/>
        <v>24.452356930175547</v>
      </c>
      <c r="BG38" s="141">
        <f t="shared" si="26"/>
        <v>24.452356930175547</v>
      </c>
      <c r="BI38" s="111">
        <f t="shared" si="44"/>
        <v>333.865075328579</v>
      </c>
      <c r="BJ38" s="111">
        <f t="shared" si="44"/>
        <v>376.48427983370982</v>
      </c>
      <c r="BK38" s="111">
        <f t="shared" si="44"/>
        <v>332.54341360488115</v>
      </c>
      <c r="BL38" s="111">
        <v>134.59189956103458</v>
      </c>
    </row>
    <row r="39" spans="1:64" s="100" customFormat="1" x14ac:dyDescent="0.2">
      <c r="A39" s="100">
        <f t="shared" si="7"/>
        <v>2053</v>
      </c>
      <c r="B39" s="112">
        <f t="shared" si="43"/>
        <v>1022.9194791288002</v>
      </c>
      <c r="C39" s="112">
        <f t="shared" si="8"/>
        <v>1341.7007700120462</v>
      </c>
      <c r="D39" s="112"/>
      <c r="E39" s="112">
        <f t="shared" si="9"/>
        <v>1341.7007700120462</v>
      </c>
      <c r="G39" s="15">
        <f t="shared" si="27"/>
        <v>40</v>
      </c>
      <c r="H39" s="15">
        <f t="shared" si="28"/>
        <v>40</v>
      </c>
      <c r="J39" s="112">
        <f t="shared" si="0"/>
        <v>53668.030800481851</v>
      </c>
      <c r="L39" s="105">
        <f t="shared" si="29"/>
        <v>28</v>
      </c>
      <c r="M39" s="111">
        <f t="shared" si="10"/>
        <v>58.873288449078323</v>
      </c>
      <c r="N39" s="111">
        <f t="shared" si="11"/>
        <v>1648.4520765741931</v>
      </c>
      <c r="P39" s="110">
        <f t="shared" si="30"/>
        <v>6</v>
      </c>
      <c r="Q39" s="111">
        <f t="shared" si="12"/>
        <v>13.894205048139723</v>
      </c>
      <c r="R39" s="111">
        <f t="shared" si="13"/>
        <v>83.365230288838333</v>
      </c>
      <c r="T39" s="110">
        <f t="shared" si="31"/>
        <v>54</v>
      </c>
      <c r="U39" s="111">
        <f t="shared" si="14"/>
        <v>23.497552654942183</v>
      </c>
      <c r="V39" s="111">
        <f t="shared" si="15"/>
        <v>1268.8678433668779</v>
      </c>
      <c r="X39" s="109">
        <f t="shared" si="32"/>
        <v>2.2999999999999998</v>
      </c>
      <c r="Y39" s="111">
        <f t="shared" si="16"/>
        <v>58.668961904252754</v>
      </c>
      <c r="Z39" s="112">
        <f t="shared" si="17"/>
        <v>134.93861237978132</v>
      </c>
      <c r="AB39" s="111">
        <f t="shared" si="18"/>
        <v>68.499960646754047</v>
      </c>
      <c r="AC39" s="6">
        <f t="shared" si="1"/>
        <v>2739.998425870162</v>
      </c>
      <c r="AE39" s="111">
        <f t="shared" si="33"/>
        <v>59.4</v>
      </c>
      <c r="AF39" s="111">
        <f t="shared" si="19"/>
        <v>95.899944905455584</v>
      </c>
      <c r="AG39" s="112">
        <f t="shared" si="20"/>
        <v>5696.4567273840612</v>
      </c>
      <c r="AI39" s="110">
        <f t="shared" si="34"/>
        <v>11</v>
      </c>
      <c r="AJ39" s="111">
        <f t="shared" si="21"/>
        <v>303.22437402272226</v>
      </c>
      <c r="AK39" s="111">
        <f t="shared" si="22"/>
        <v>805.02046200722759</v>
      </c>
      <c r="AL39" s="111">
        <f t="shared" si="35"/>
        <v>4140.4885762571721</v>
      </c>
      <c r="AN39" s="111">
        <f t="shared" si="23"/>
        <v>109.59993703480633</v>
      </c>
      <c r="AO39" s="112">
        <f t="shared" si="2"/>
        <v>4383.9974813922536</v>
      </c>
      <c r="AQ39" s="111">
        <f t="shared" si="36"/>
        <v>6</v>
      </c>
      <c r="AR39" s="111">
        <f t="shared" si="24"/>
        <v>548.76688473327533</v>
      </c>
      <c r="AS39" s="112">
        <f t="shared" si="37"/>
        <v>3292.6013083996522</v>
      </c>
      <c r="AT39" s="111">
        <f t="shared" si="38"/>
        <v>19</v>
      </c>
      <c r="AU39" s="111">
        <f t="shared" si="25"/>
        <v>547.99968517403158</v>
      </c>
      <c r="AV39" s="112">
        <f t="shared" si="39"/>
        <v>10411.994018306599</v>
      </c>
      <c r="AX39" s="111">
        <f t="shared" si="3"/>
        <v>212</v>
      </c>
      <c r="AY39" s="100" t="str">
        <f>IF(Oranges!$D$17&lt;0,(+N39+R39+V39+Z39+AC39+AG39+AL39+A39+AS39+AV39+AX39)*Oranges!$D$17/100,IF(Oranges!$D$17&gt;0,(+N39+R39+V39+Z39+AC39+AG39+AL39+A39+AS39+AV39+AX39)*Oranges!$D$17/100,""))</f>
        <v/>
      </c>
      <c r="BA39" s="112">
        <f t="shared" si="4"/>
        <v>34013.160300219592</v>
      </c>
      <c r="BC39" s="112"/>
      <c r="BD39" s="112">
        <f t="shared" si="5"/>
        <v>19654.870500262259</v>
      </c>
      <c r="BF39" s="110">
        <f t="shared" si="6"/>
        <v>24.396121684711964</v>
      </c>
      <c r="BG39" s="141">
        <f t="shared" si="26"/>
        <v>24.396121684711964</v>
      </c>
      <c r="BI39" s="111">
        <f t="shared" si="44"/>
        <v>344.5487577390935</v>
      </c>
      <c r="BJ39" s="111">
        <f t="shared" si="44"/>
        <v>388.53177678838853</v>
      </c>
      <c r="BK39" s="111">
        <f t="shared" si="44"/>
        <v>343.18480284023735</v>
      </c>
      <c r="BL39" s="111">
        <v>135.79803126078241</v>
      </c>
    </row>
    <row r="40" spans="1:64" s="100" customFormat="1" x14ac:dyDescent="0.2">
      <c r="A40" s="100">
        <f t="shared" si="7"/>
        <v>2054</v>
      </c>
      <c r="B40" s="112">
        <f t="shared" si="43"/>
        <v>1022.9194791288002</v>
      </c>
      <c r="C40" s="112">
        <f t="shared" si="8"/>
        <v>1384.6351946524317</v>
      </c>
      <c r="D40" s="112"/>
      <c r="E40" s="112">
        <f t="shared" si="9"/>
        <v>1384.6351946524317</v>
      </c>
      <c r="G40" s="15">
        <f t="shared" si="27"/>
        <v>40</v>
      </c>
      <c r="H40" s="15">
        <f t="shared" si="28"/>
        <v>40</v>
      </c>
      <c r="J40" s="112">
        <f t="shared" si="0"/>
        <v>55385.407786097268</v>
      </c>
      <c r="L40" s="105">
        <f t="shared" si="29"/>
        <v>28</v>
      </c>
      <c r="M40" s="111">
        <f t="shared" si="10"/>
        <v>59.288532469478554</v>
      </c>
      <c r="N40" s="111">
        <f t="shared" si="11"/>
        <v>1660.0789091453994</v>
      </c>
      <c r="P40" s="110">
        <f t="shared" si="30"/>
        <v>6</v>
      </c>
      <c r="Q40" s="111">
        <f t="shared" si="12"/>
        <v>13.992203405568747</v>
      </c>
      <c r="R40" s="111">
        <f t="shared" si="13"/>
        <v>83.953220433412483</v>
      </c>
      <c r="T40" s="110">
        <f t="shared" si="31"/>
        <v>54</v>
      </c>
      <c r="U40" s="111">
        <f t="shared" si="14"/>
        <v>23.663285171182444</v>
      </c>
      <c r="V40" s="111">
        <f t="shared" si="15"/>
        <v>1277.8173992438519</v>
      </c>
      <c r="X40" s="109">
        <f t="shared" si="32"/>
        <v>2.2999999999999998</v>
      </c>
      <c r="Y40" s="111">
        <f t="shared" si="16"/>
        <v>59.082764772337853</v>
      </c>
      <c r="Z40" s="112">
        <f t="shared" si="17"/>
        <v>135.89035897637706</v>
      </c>
      <c r="AB40" s="111">
        <f t="shared" si="18"/>
        <v>70.691959387450183</v>
      </c>
      <c r="AC40" s="6">
        <f t="shared" si="1"/>
        <v>2827.6783754980074</v>
      </c>
      <c r="AE40" s="111">
        <f t="shared" si="33"/>
        <v>59.4</v>
      </c>
      <c r="AF40" s="111">
        <f t="shared" si="19"/>
        <v>98.968743142430171</v>
      </c>
      <c r="AG40" s="112">
        <f t="shared" si="20"/>
        <v>5878.743342660352</v>
      </c>
      <c r="AI40" s="110">
        <f t="shared" si="34"/>
        <v>11</v>
      </c>
      <c r="AJ40" s="111">
        <f t="shared" si="21"/>
        <v>312.92755399144943</v>
      </c>
      <c r="AK40" s="111">
        <f t="shared" si="22"/>
        <v>830.78111679145889</v>
      </c>
      <c r="AL40" s="111">
        <f t="shared" si="35"/>
        <v>4272.9842106974029</v>
      </c>
      <c r="AN40" s="111">
        <f t="shared" si="23"/>
        <v>113.10713501992014</v>
      </c>
      <c r="AO40" s="112">
        <f t="shared" si="2"/>
        <v>4524.2854007968053</v>
      </c>
      <c r="AQ40" s="111">
        <f t="shared" si="36"/>
        <v>6</v>
      </c>
      <c r="AR40" s="111">
        <f t="shared" si="24"/>
        <v>566.32742504474015</v>
      </c>
      <c r="AS40" s="112">
        <f t="shared" si="37"/>
        <v>3397.9645502684407</v>
      </c>
      <c r="AT40" s="111">
        <f t="shared" si="38"/>
        <v>19</v>
      </c>
      <c r="AU40" s="111">
        <f t="shared" si="25"/>
        <v>565.53567509960055</v>
      </c>
      <c r="AV40" s="112">
        <f t="shared" si="39"/>
        <v>10745.17782689241</v>
      </c>
      <c r="AX40" s="111">
        <f t="shared" si="3"/>
        <v>212</v>
      </c>
      <c r="AY40" s="100" t="str">
        <f>IF(Oranges!$D$17&lt;0,(+N40+R40+V40+Z40+AC40+AG40+AL40+A40+AS40+AV40+AX40)*Oranges!$D$17/100,IF(Oranges!$D$17&gt;0,(+N40+R40+V40+Z40+AC40+AG40+AL40+A40+AS40+AV40+AX40)*Oranges!$D$17/100,""))</f>
        <v/>
      </c>
      <c r="BA40" s="112">
        <f t="shared" si="4"/>
        <v>35016.573594612462</v>
      </c>
      <c r="BC40" s="112"/>
      <c r="BD40" s="112">
        <f t="shared" si="5"/>
        <v>20368.834191484806</v>
      </c>
      <c r="BF40" s="110">
        <f t="shared" si="6"/>
        <v>24.33658803583376</v>
      </c>
      <c r="BG40" s="141">
        <f t="shared" si="26"/>
        <v>24.33658803583376</v>
      </c>
      <c r="BI40" s="111">
        <f t="shared" si="44"/>
        <v>355.57431798674452</v>
      </c>
      <c r="BJ40" s="111">
        <f t="shared" si="44"/>
        <v>400.96479364561696</v>
      </c>
      <c r="BK40" s="111">
        <f t="shared" si="44"/>
        <v>354.16671653112496</v>
      </c>
      <c r="BL40" s="111">
        <v>136.75583949518972</v>
      </c>
    </row>
    <row r="41" spans="1:64" s="100" customFormat="1" x14ac:dyDescent="0.2">
      <c r="A41" s="100">
        <f t="shared" si="7"/>
        <v>2055</v>
      </c>
      <c r="B41" s="112">
        <f t="shared" si="43"/>
        <v>1022.9194791288002</v>
      </c>
      <c r="C41" s="112">
        <f t="shared" si="8"/>
        <v>1428.9435208813097</v>
      </c>
      <c r="D41" s="112"/>
      <c r="E41" s="112">
        <f t="shared" si="9"/>
        <v>1428.9435208813097</v>
      </c>
      <c r="G41" s="15">
        <f t="shared" si="27"/>
        <v>40</v>
      </c>
      <c r="H41" s="15">
        <f t="shared" si="28"/>
        <v>40</v>
      </c>
      <c r="J41" s="112">
        <f t="shared" si="0"/>
        <v>57157.740835252393</v>
      </c>
      <c r="L41" s="105">
        <f t="shared" si="29"/>
        <v>28</v>
      </c>
      <c r="M41" s="111">
        <f t="shared" si="10"/>
        <v>59.593398482022209</v>
      </c>
      <c r="N41" s="111">
        <f t="shared" si="11"/>
        <v>1668.6151574966218</v>
      </c>
      <c r="P41" s="110">
        <f t="shared" si="30"/>
        <v>6</v>
      </c>
      <c r="Q41" s="111">
        <f t="shared" si="12"/>
        <v>14.064152348834487</v>
      </c>
      <c r="R41" s="111">
        <f t="shared" si="13"/>
        <v>84.384914093006927</v>
      </c>
      <c r="T41" s="110">
        <f t="shared" si="31"/>
        <v>54</v>
      </c>
      <c r="U41" s="111">
        <f t="shared" si="14"/>
        <v>23.78496353111715</v>
      </c>
      <c r="V41" s="111">
        <f t="shared" si="15"/>
        <v>1284.388030680326</v>
      </c>
      <c r="X41" s="109">
        <f t="shared" si="32"/>
        <v>2.2999999999999998</v>
      </c>
      <c r="Y41" s="111">
        <f t="shared" si="16"/>
        <v>59.386572712186421</v>
      </c>
      <c r="Z41" s="112">
        <f t="shared" si="17"/>
        <v>136.58911723802876</v>
      </c>
      <c r="AB41" s="111">
        <f t="shared" si="18"/>
        <v>72.954102087848597</v>
      </c>
      <c r="AC41" s="6">
        <f t="shared" si="1"/>
        <v>2918.1640835139438</v>
      </c>
      <c r="AE41" s="111">
        <f t="shared" si="33"/>
        <v>59.4</v>
      </c>
      <c r="AF41" s="111">
        <f t="shared" si="19"/>
        <v>102.13574292298794</v>
      </c>
      <c r="AG41" s="112">
        <f t="shared" si="20"/>
        <v>6066.8631296254835</v>
      </c>
      <c r="AI41" s="110">
        <f t="shared" si="34"/>
        <v>11</v>
      </c>
      <c r="AJ41" s="111">
        <f t="shared" si="21"/>
        <v>322.94123571917584</v>
      </c>
      <c r="AK41" s="111">
        <f t="shared" si="22"/>
        <v>857.36611252878561</v>
      </c>
      <c r="AL41" s="111">
        <f t="shared" si="35"/>
        <v>4409.7197054397202</v>
      </c>
      <c r="AN41" s="111">
        <f t="shared" si="23"/>
        <v>116.72656334055758</v>
      </c>
      <c r="AO41" s="112">
        <f t="shared" si="2"/>
        <v>4669.0625336223029</v>
      </c>
      <c r="AQ41" s="111">
        <f t="shared" si="36"/>
        <v>6</v>
      </c>
      <c r="AR41" s="111">
        <f t="shared" si="24"/>
        <v>584.44990264617184</v>
      </c>
      <c r="AS41" s="112">
        <f t="shared" si="37"/>
        <v>3506.6994158770312</v>
      </c>
      <c r="AT41" s="111">
        <f t="shared" si="38"/>
        <v>19</v>
      </c>
      <c r="AU41" s="111">
        <f t="shared" si="25"/>
        <v>583.63281670278775</v>
      </c>
      <c r="AV41" s="112">
        <f t="shared" si="39"/>
        <v>11089.023517352967</v>
      </c>
      <c r="AX41" s="111">
        <f t="shared" si="3"/>
        <v>212</v>
      </c>
      <c r="AY41" s="100" t="str">
        <f>IF(Oranges!$D$17&lt;0,(+N41+R41+V41+Z41+AC41+AG41+AL41+A41+AS41+AV41+AX41)*Oranges!$D$17/100,IF(Oranges!$D$17&gt;0,(+N41+R41+V41+Z41+AC41+AG41+AL41+A41+AS41+AV41+AX41)*Oranges!$D$17/100,""))</f>
        <v/>
      </c>
      <c r="BA41" s="112">
        <f t="shared" si="4"/>
        <v>36045.509604939434</v>
      </c>
      <c r="BC41" s="112"/>
      <c r="BD41" s="112">
        <f t="shared" si="5"/>
        <v>21112.231230312958</v>
      </c>
      <c r="BF41" s="110">
        <f t="shared" si="6"/>
        <v>24.274043045787973</v>
      </c>
      <c r="BG41" s="141">
        <f t="shared" si="26"/>
        <v>24.274043045787973</v>
      </c>
      <c r="BI41" s="111">
        <f t="shared" si="44"/>
        <v>366.95269616232036</v>
      </c>
      <c r="BJ41" s="111">
        <f t="shared" si="44"/>
        <v>413.7956670422767</v>
      </c>
      <c r="BK41" s="111">
        <f t="shared" si="44"/>
        <v>365.50005146012097</v>
      </c>
      <c r="BL41" s="111">
        <v>137.45904812158676</v>
      </c>
    </row>
    <row r="42" spans="1:64" x14ac:dyDescent="0.2">
      <c r="A42" s="8"/>
      <c r="G42" s="14"/>
      <c r="H42" s="71"/>
      <c r="AX42" s="7"/>
    </row>
  </sheetData>
  <mergeCells count="49">
    <mergeCell ref="AS5:AS6"/>
    <mergeCell ref="AT5:AT6"/>
    <mergeCell ref="AB5:AB6"/>
    <mergeCell ref="AC5:AC6"/>
    <mergeCell ref="AE5:AG5"/>
    <mergeCell ref="AI5:AI6"/>
    <mergeCell ref="AJ5:AJ6"/>
    <mergeCell ref="AK5:AK6"/>
    <mergeCell ref="AL5:AL6"/>
    <mergeCell ref="AN5:AO5"/>
    <mergeCell ref="AQ5:AQ6"/>
    <mergeCell ref="AR5:AR6"/>
    <mergeCell ref="B3:J3"/>
    <mergeCell ref="L3:BA3"/>
    <mergeCell ref="BI3:BL3"/>
    <mergeCell ref="B4:C4"/>
    <mergeCell ref="L4:N4"/>
    <mergeCell ref="P4:R4"/>
    <mergeCell ref="T4:V4"/>
    <mergeCell ref="X4:Z4"/>
    <mergeCell ref="AB4:AC4"/>
    <mergeCell ref="AE4:AG4"/>
    <mergeCell ref="AI4:AL4"/>
    <mergeCell ref="AN4:AO4"/>
    <mergeCell ref="AQ4:AS4"/>
    <mergeCell ref="G4:G6"/>
    <mergeCell ref="H4:H6"/>
    <mergeCell ref="AZ4:AZ6"/>
    <mergeCell ref="Z5:Z6"/>
    <mergeCell ref="L5:L6"/>
    <mergeCell ref="M5:M6"/>
    <mergeCell ref="N5:N6"/>
    <mergeCell ref="P5:P6"/>
    <mergeCell ref="Q5:Q6"/>
    <mergeCell ref="R5:R6"/>
    <mergeCell ref="T5:T6"/>
    <mergeCell ref="U5:U6"/>
    <mergeCell ref="V5:V6"/>
    <mergeCell ref="X5:X6"/>
    <mergeCell ref="Y5:Y6"/>
    <mergeCell ref="BD5:BD6"/>
    <mergeCell ref="BG5:BG6"/>
    <mergeCell ref="BI6:BL6"/>
    <mergeCell ref="BF3:BG3"/>
    <mergeCell ref="AU5:AU6"/>
    <mergeCell ref="AV5:AV6"/>
    <mergeCell ref="BA5:BA6"/>
    <mergeCell ref="BF5:BF6"/>
    <mergeCell ref="AT4:AV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B05F-6FE2-4F36-AE41-8A153939FC1E}">
  <sheetPr codeName="Sheet9"/>
  <dimension ref="A1:BH42"/>
  <sheetViews>
    <sheetView workbookViewId="0"/>
  </sheetViews>
  <sheetFormatPr baseColWidth="10" defaultColWidth="8.83203125" defaultRowHeight="15" x14ac:dyDescent="0.2"/>
  <cols>
    <col min="2" max="2" width="16.1640625" bestFit="1" customWidth="1"/>
    <col min="3" max="3" width="16.6640625" bestFit="1" customWidth="1"/>
    <col min="4" max="4" width="0.83203125" customWidth="1"/>
    <col min="5" max="5" width="11.5" bestFit="1" customWidth="1"/>
    <col min="6" max="6" width="12.1640625" bestFit="1" customWidth="1"/>
    <col min="7" max="7" width="0.83203125" customWidth="1"/>
    <col min="8" max="8" width="10.5" customWidth="1"/>
    <col min="9" max="9" width="11.5" customWidth="1"/>
    <col min="10" max="10" width="5.5" customWidth="1"/>
    <col min="11" max="11" width="9.1640625" customWidth="1"/>
    <col min="12" max="12" width="9.83203125" customWidth="1"/>
    <col min="13" max="13" width="9.1640625" customWidth="1"/>
    <col min="14" max="14" width="0.83203125" customWidth="1"/>
    <col min="15" max="15" width="12.5" customWidth="1"/>
    <col min="16" max="16" width="10.1640625" customWidth="1"/>
    <col min="17" max="17" width="9.1640625" customWidth="1"/>
    <col min="18" max="18" width="0.83203125" customWidth="1"/>
    <col min="19" max="19" width="12.5" customWidth="1"/>
    <col min="20" max="21" width="9.6640625" customWidth="1"/>
    <col min="22" max="22" width="0.83203125" customWidth="1"/>
    <col min="23" max="23" width="12.5" customWidth="1"/>
    <col min="24" max="24" width="9.6640625" customWidth="1"/>
    <col min="25" max="25" width="9.1640625" customWidth="1"/>
    <col min="26" max="26" width="0.83203125" customWidth="1"/>
    <col min="27" max="27" width="13.5" customWidth="1"/>
    <col min="28" max="28" width="10.1640625" customWidth="1"/>
    <col min="29" max="29" width="0.83203125" customWidth="1"/>
    <col min="30" max="30" width="12.6640625" customWidth="1"/>
    <col min="31" max="31" width="9.1640625" customWidth="1"/>
    <col min="32" max="32" width="14.83203125" customWidth="1"/>
    <col min="33" max="33" width="0.83203125" customWidth="1"/>
    <col min="34" max="36" width="9.6640625" customWidth="1"/>
    <col min="37" max="37" width="10" customWidth="1"/>
    <col min="38" max="38" width="0.83203125" customWidth="1"/>
    <col min="39" max="39" width="9.6640625" customWidth="1"/>
    <col min="40" max="40" width="10" customWidth="1"/>
    <col min="41" max="41" width="0.83203125" customWidth="1"/>
    <col min="42" max="47" width="9.6640625" customWidth="1"/>
    <col min="48" max="48" width="0.83203125" customWidth="1"/>
    <col min="49" max="49" width="12.5" customWidth="1"/>
    <col min="50" max="50" width="0.83203125" customWidth="1"/>
    <col min="51" max="51" width="12.5" customWidth="1"/>
    <col min="52" max="52" width="5.6640625" customWidth="1"/>
    <col min="54" max="54" width="5.6640625" customWidth="1"/>
    <col min="55" max="55" width="15.83203125" bestFit="1" customWidth="1"/>
    <col min="57" max="57" width="10.6640625" customWidth="1"/>
    <col min="58" max="58" width="8.5" customWidth="1"/>
    <col min="59" max="59" width="10.6640625" customWidth="1"/>
    <col min="60" max="60" width="9" customWidth="1"/>
  </cols>
  <sheetData>
    <row r="1" spans="1:60" x14ac:dyDescent="0.2">
      <c r="A1" s="2" t="s">
        <v>87</v>
      </c>
      <c r="E1" t="s">
        <v>46</v>
      </c>
    </row>
    <row r="2" spans="1:60" x14ac:dyDescent="0.2">
      <c r="AW2" s="103" t="s">
        <v>46</v>
      </c>
    </row>
    <row r="3" spans="1:60" x14ac:dyDescent="0.2">
      <c r="B3" s="252" t="s">
        <v>0</v>
      </c>
      <c r="C3" s="252"/>
      <c r="D3" s="252"/>
      <c r="E3" s="252"/>
      <c r="F3" s="252"/>
      <c r="G3" s="252"/>
      <c r="H3" s="252"/>
      <c r="I3" s="50"/>
      <c r="K3" s="265" t="s">
        <v>1</v>
      </c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BA3" s="13" t="s">
        <v>2</v>
      </c>
      <c r="BC3" s="17" t="s">
        <v>3</v>
      </c>
      <c r="BE3" s="251" t="s">
        <v>4</v>
      </c>
      <c r="BF3" s="251"/>
      <c r="BG3" s="251"/>
      <c r="BH3" s="251"/>
    </row>
    <row r="4" spans="1:60" x14ac:dyDescent="0.2">
      <c r="B4" s="253" t="s">
        <v>47</v>
      </c>
      <c r="C4" s="253"/>
      <c r="D4" s="3"/>
      <c r="E4" s="253" t="s">
        <v>48</v>
      </c>
      <c r="F4" s="253"/>
      <c r="G4" s="3"/>
      <c r="H4" s="253" t="s">
        <v>49</v>
      </c>
      <c r="I4" s="253"/>
      <c r="K4" s="242" t="s">
        <v>10</v>
      </c>
      <c r="L4" s="242"/>
      <c r="M4" s="242"/>
      <c r="N4" s="3"/>
      <c r="O4" s="242" t="s">
        <v>11</v>
      </c>
      <c r="P4" s="242"/>
      <c r="Q4" s="242"/>
      <c r="R4" s="3"/>
      <c r="S4" s="242" t="s">
        <v>12</v>
      </c>
      <c r="T4" s="242"/>
      <c r="U4" s="242"/>
      <c r="V4" s="3"/>
      <c r="W4" s="242" t="s">
        <v>13</v>
      </c>
      <c r="X4" s="242"/>
      <c r="Y4" s="242"/>
      <c r="Z4" s="3"/>
      <c r="AA4" s="242" t="s">
        <v>15</v>
      </c>
      <c r="AB4" s="242"/>
      <c r="AC4" s="3"/>
      <c r="AD4" s="242" t="s">
        <v>16</v>
      </c>
      <c r="AE4" s="242"/>
      <c r="AF4" s="242"/>
      <c r="AG4" s="12"/>
      <c r="AH4" s="242" t="s">
        <v>17</v>
      </c>
      <c r="AI4" s="242"/>
      <c r="AJ4" s="242"/>
      <c r="AK4" s="242"/>
      <c r="AL4" s="3"/>
      <c r="AM4" s="242" t="s">
        <v>72</v>
      </c>
      <c r="AN4" s="242"/>
      <c r="AO4" s="3"/>
      <c r="AP4" s="242" t="s">
        <v>88</v>
      </c>
      <c r="AQ4" s="242"/>
      <c r="AR4" s="242"/>
      <c r="AS4" s="242" t="s">
        <v>19</v>
      </c>
      <c r="AT4" s="242"/>
      <c r="AU4" s="242"/>
      <c r="AV4" s="3"/>
      <c r="AW4" s="23" t="s">
        <v>23</v>
      </c>
      <c r="AX4" s="12"/>
      <c r="AY4" s="9" t="s">
        <v>25</v>
      </c>
    </row>
    <row r="5" spans="1:60" ht="15" customHeight="1" x14ac:dyDescent="0.2">
      <c r="B5" t="s">
        <v>50</v>
      </c>
      <c r="C5" t="s">
        <v>73</v>
      </c>
      <c r="D5" s="1"/>
      <c r="E5" t="s">
        <v>74</v>
      </c>
      <c r="F5" s="11" t="s">
        <v>75</v>
      </c>
      <c r="G5" s="1"/>
      <c r="H5" t="s">
        <v>74</v>
      </c>
      <c r="I5" s="11" t="s">
        <v>75</v>
      </c>
      <c r="K5" s="243" t="s">
        <v>26</v>
      </c>
      <c r="L5" s="243" t="s">
        <v>27</v>
      </c>
      <c r="M5" s="243" t="s">
        <v>28</v>
      </c>
      <c r="N5" s="10"/>
      <c r="O5" s="243" t="s">
        <v>29</v>
      </c>
      <c r="P5" s="243" t="s">
        <v>30</v>
      </c>
      <c r="Q5" s="243" t="s">
        <v>28</v>
      </c>
      <c r="R5" s="10"/>
      <c r="S5" s="243" t="s">
        <v>29</v>
      </c>
      <c r="T5" s="243" t="s">
        <v>30</v>
      </c>
      <c r="U5" s="243" t="s">
        <v>28</v>
      </c>
      <c r="V5" s="10"/>
      <c r="W5" s="243" t="s">
        <v>29</v>
      </c>
      <c r="X5" s="243" t="s">
        <v>30</v>
      </c>
      <c r="Y5" s="243" t="s">
        <v>28</v>
      </c>
      <c r="Z5" s="10"/>
      <c r="AA5" s="244" t="s">
        <v>89</v>
      </c>
      <c r="AB5" s="243" t="s">
        <v>28</v>
      </c>
      <c r="AC5" s="10"/>
      <c r="AD5" s="254"/>
      <c r="AE5" s="255"/>
      <c r="AF5" s="256"/>
      <c r="AG5" s="11"/>
      <c r="AH5" s="241" t="s">
        <v>32</v>
      </c>
      <c r="AI5" s="247" t="s">
        <v>33</v>
      </c>
      <c r="AJ5" s="241" t="s">
        <v>90</v>
      </c>
      <c r="AK5" s="243" t="s">
        <v>28</v>
      </c>
      <c r="AL5" s="10"/>
      <c r="AM5" s="255"/>
      <c r="AN5" s="255"/>
      <c r="AO5" s="10"/>
      <c r="AP5" s="241" t="s">
        <v>98</v>
      </c>
      <c r="AQ5" s="247" t="s">
        <v>99</v>
      </c>
      <c r="AR5" s="243" t="s">
        <v>28</v>
      </c>
      <c r="AS5" s="241" t="s">
        <v>35</v>
      </c>
      <c r="AT5" s="247" t="s">
        <v>33</v>
      </c>
      <c r="AU5" s="243" t="s">
        <v>28</v>
      </c>
      <c r="AV5" s="10"/>
      <c r="AW5" s="11"/>
      <c r="AX5" s="11"/>
      <c r="AY5" s="241" t="s">
        <v>37</v>
      </c>
      <c r="BA5" s="241" t="s">
        <v>37</v>
      </c>
      <c r="BC5" s="241" t="s">
        <v>38</v>
      </c>
      <c r="BE5" s="10" t="s">
        <v>39</v>
      </c>
      <c r="BF5" s="10" t="s">
        <v>40</v>
      </c>
      <c r="BG5" s="10" t="s">
        <v>41</v>
      </c>
      <c r="BH5" t="s">
        <v>10</v>
      </c>
    </row>
    <row r="6" spans="1:60" ht="32" x14ac:dyDescent="0.2">
      <c r="B6" s="1" t="s">
        <v>78</v>
      </c>
      <c r="C6" s="1" t="s">
        <v>78</v>
      </c>
      <c r="D6" s="1"/>
      <c r="E6" s="247" t="s">
        <v>38</v>
      </c>
      <c r="F6" s="247"/>
      <c r="G6" s="1"/>
      <c r="H6" s="241" t="s">
        <v>37</v>
      </c>
      <c r="I6" s="241"/>
      <c r="K6" s="243"/>
      <c r="L6" s="243"/>
      <c r="M6" s="243"/>
      <c r="N6" s="10"/>
      <c r="O6" s="243"/>
      <c r="P6" s="243"/>
      <c r="Q6" s="243"/>
      <c r="R6" s="10"/>
      <c r="S6" s="243"/>
      <c r="T6" s="243"/>
      <c r="U6" s="243"/>
      <c r="V6" s="10"/>
      <c r="W6" s="243"/>
      <c r="X6" s="243"/>
      <c r="Y6" s="243"/>
      <c r="Z6" s="10"/>
      <c r="AA6" s="244"/>
      <c r="AB6" s="243"/>
      <c r="AC6" s="10"/>
      <c r="AD6" s="24" t="s">
        <v>91</v>
      </c>
      <c r="AE6" s="120" t="s">
        <v>33</v>
      </c>
      <c r="AF6" s="10" t="s">
        <v>92</v>
      </c>
      <c r="AG6" s="11"/>
      <c r="AH6" s="241"/>
      <c r="AI6" s="247"/>
      <c r="AJ6" s="241"/>
      <c r="AK6" s="243"/>
      <c r="AL6" s="10"/>
      <c r="AM6" s="119" t="s">
        <v>33</v>
      </c>
      <c r="AN6" s="118" t="s">
        <v>28</v>
      </c>
      <c r="AO6" s="10"/>
      <c r="AP6" s="241"/>
      <c r="AQ6" s="247"/>
      <c r="AR6" s="243"/>
      <c r="AS6" s="241"/>
      <c r="AT6" s="247"/>
      <c r="AU6" s="243"/>
      <c r="AV6" s="10"/>
      <c r="AW6" s="11" t="s">
        <v>100</v>
      </c>
      <c r="AX6" s="11"/>
      <c r="AY6" s="241"/>
      <c r="BA6" s="241"/>
      <c r="BC6" s="241"/>
      <c r="BE6" s="249" t="s">
        <v>43</v>
      </c>
      <c r="BF6" s="249"/>
      <c r="BG6" s="249"/>
      <c r="BH6" s="249"/>
    </row>
    <row r="7" spans="1:60" x14ac:dyDescent="0.2">
      <c r="A7">
        <v>2021</v>
      </c>
      <c r="B7" s="52">
        <v>700</v>
      </c>
      <c r="C7" s="52">
        <v>700</v>
      </c>
      <c r="E7" s="16">
        <v>45</v>
      </c>
      <c r="F7" s="16">
        <v>45</v>
      </c>
      <c r="H7" s="20">
        <f t="shared" ref="H7:I41" si="0">+B7*E7</f>
        <v>31500</v>
      </c>
      <c r="I7" s="20">
        <f t="shared" si="0"/>
        <v>31500</v>
      </c>
      <c r="J7" s="53"/>
      <c r="K7" s="4">
        <v>25</v>
      </c>
      <c r="L7" s="199">
        <v>45.49</v>
      </c>
      <c r="M7" s="6">
        <f>+K7*L7</f>
        <v>1137.25</v>
      </c>
      <c r="O7" s="16">
        <v>6</v>
      </c>
      <c r="P7" s="4">
        <v>10.199999999999999</v>
      </c>
      <c r="Q7" s="6">
        <f>+O7*P7</f>
        <v>61.199999999999996</v>
      </c>
      <c r="S7" s="16">
        <v>49</v>
      </c>
      <c r="T7" s="4">
        <v>14.73</v>
      </c>
      <c r="U7" s="6">
        <f>+S7*T7</f>
        <v>721.77</v>
      </c>
      <c r="W7" s="5">
        <v>6</v>
      </c>
      <c r="X7" s="4">
        <v>60.41</v>
      </c>
      <c r="Y7" s="21">
        <f>+W7*X7</f>
        <v>362.46</v>
      </c>
      <c r="AA7" s="4">
        <v>25</v>
      </c>
      <c r="AB7" s="6">
        <f t="shared" ref="AB7:AB41" si="1">+AA7*F7</f>
        <v>1125</v>
      </c>
      <c r="AD7" s="4">
        <v>60</v>
      </c>
      <c r="AE7" s="4">
        <v>35</v>
      </c>
      <c r="AF7" s="21">
        <f>+AD7*AE7</f>
        <v>2100</v>
      </c>
      <c r="AH7" s="1">
        <v>11</v>
      </c>
      <c r="AI7" s="1">
        <v>113</v>
      </c>
      <c r="AJ7" s="1">
        <v>300</v>
      </c>
      <c r="AK7" s="6">
        <f>+(AH7*AI7)+AJ7</f>
        <v>1543</v>
      </c>
      <c r="AM7" s="1">
        <f>40+38</f>
        <v>78</v>
      </c>
      <c r="AN7" s="21">
        <f>AM7*F7</f>
        <v>3510</v>
      </c>
      <c r="AP7" s="1">
        <v>5</v>
      </c>
      <c r="AQ7" s="4">
        <v>315.67</v>
      </c>
      <c r="AR7" s="21">
        <f>+AP7*AQ7</f>
        <v>1578.3500000000001</v>
      </c>
      <c r="AS7" s="1">
        <v>43.7</v>
      </c>
      <c r="AT7" s="1">
        <v>200</v>
      </c>
      <c r="AU7" s="21">
        <f>+AS7*AT7</f>
        <v>8740</v>
      </c>
      <c r="AW7" s="6">
        <f>4.55*F7</f>
        <v>204.75</v>
      </c>
      <c r="AY7" s="21">
        <f>+M7+Q7+U7+Y7+AB7+AF7+AK7+AN7+AR7+AU7+AW7</f>
        <v>21083.78</v>
      </c>
      <c r="BA7" s="21">
        <f t="shared" ref="BA7:BA41" si="2">+I7-AY7</f>
        <v>10416.220000000001</v>
      </c>
      <c r="BC7" s="6">
        <f>+(M7+Q7+U7+Y7+AF7+AK7+AN7+AR7+AU7)/(C7-AA7)</f>
        <v>29.265229629629626</v>
      </c>
      <c r="BE7" s="4">
        <v>128.4</v>
      </c>
      <c r="BF7" s="4">
        <v>141.80000000000001</v>
      </c>
      <c r="BG7" s="4">
        <f>+(143.56+106.94)/2</f>
        <v>125.25</v>
      </c>
      <c r="BH7" s="4">
        <v>99.691915734713831</v>
      </c>
    </row>
    <row r="8" spans="1:60" x14ac:dyDescent="0.2">
      <c r="A8" s="8">
        <f t="shared" ref="A8:A41" si="3">+A7+1</f>
        <v>2022</v>
      </c>
      <c r="B8" s="22">
        <f>+B7*1.02</f>
        <v>714</v>
      </c>
      <c r="C8" s="22">
        <f t="shared" ref="C8:C41" si="4">+C7*BE8/BE7</f>
        <v>710.24922118380061</v>
      </c>
      <c r="E8" s="15">
        <f>E7*((E$21/E$7)^(1/($A$21-$A$7)))</f>
        <v>44.525201126258665</v>
      </c>
      <c r="F8" s="16">
        <v>45</v>
      </c>
      <c r="H8" s="22">
        <f t="shared" si="0"/>
        <v>31790.993604148687</v>
      </c>
      <c r="I8" s="22">
        <f t="shared" si="0"/>
        <v>31961.214953271028</v>
      </c>
      <c r="K8" s="54">
        <f>+K7</f>
        <v>25</v>
      </c>
      <c r="L8" s="7">
        <f t="shared" ref="L8:L41" si="5">+L7*$BH8/$BH7</f>
        <v>45.241872727272721</v>
      </c>
      <c r="M8" s="7">
        <f t="shared" ref="M8:M41" si="6">+K8*L8</f>
        <v>1131.046818181818</v>
      </c>
      <c r="O8" s="15">
        <f>+O7</f>
        <v>6</v>
      </c>
      <c r="P8" s="7">
        <f t="shared" ref="P8:P41" si="7">+P7*$BH8/$BH7</f>
        <v>10.144363636363634</v>
      </c>
      <c r="Q8" s="7">
        <f t="shared" ref="Q8:Q41" si="8">+O8*P8</f>
        <v>60.866181818181801</v>
      </c>
      <c r="S8" s="15">
        <f>+S7</f>
        <v>49</v>
      </c>
      <c r="T8" s="7">
        <f t="shared" ref="T8:T41" si="9">+T7*$BH8/$BH7</f>
        <v>14.649654545454544</v>
      </c>
      <c r="U8" s="7">
        <f t="shared" ref="U8:U41" si="10">+S8*T8</f>
        <v>717.83307272727268</v>
      </c>
      <c r="W8" s="14">
        <f>+W7</f>
        <v>6</v>
      </c>
      <c r="X8" s="7">
        <f t="shared" ref="X8:X41" si="11">+X7*$BH8/$BH7</f>
        <v>60.080490909090891</v>
      </c>
      <c r="Y8" s="22">
        <f t="shared" ref="Y8:Y41" si="12">+W8*X8</f>
        <v>360.48294545454536</v>
      </c>
      <c r="AA8" s="7">
        <f t="shared" ref="AA8:AA41" si="13">+AA7*(0.5*$BF8/$BF7+0.5*$BG8/$BG7)</f>
        <v>25.8</v>
      </c>
      <c r="AB8" s="7">
        <f t="shared" si="1"/>
        <v>1161</v>
      </c>
      <c r="AD8" s="7">
        <f>+AD7</f>
        <v>60</v>
      </c>
      <c r="AE8" s="7">
        <f t="shared" ref="AE8:AE41" si="14">+AE7*(0.5*$BF8/$BF7+0.5*$BG8/$BG7)</f>
        <v>36.120000000000005</v>
      </c>
      <c r="AF8" s="22">
        <f t="shared" ref="AF8:AF41" si="15">+AD8*AE8</f>
        <v>2167.2000000000003</v>
      </c>
      <c r="AH8" s="15">
        <f>+AH7</f>
        <v>11</v>
      </c>
      <c r="AI8" s="7">
        <f t="shared" ref="AI8:AI41" si="16">+AI7*BE8/BE7</f>
        <v>114.65451713395638</v>
      </c>
      <c r="AJ8" s="7">
        <f t="shared" ref="AJ8:AJ41" si="17">+AJ7*BE8/BE7</f>
        <v>304.39252336448595</v>
      </c>
      <c r="AK8" s="7">
        <f>(+AH8*AI8)+AJ8</f>
        <v>1565.5922118380061</v>
      </c>
      <c r="AM8" s="7">
        <f t="shared" ref="AM8:AM41" si="18">+AM7*$BF8/$BF7</f>
        <v>80.495999999999995</v>
      </c>
      <c r="AN8" s="22">
        <f>AM8*F8</f>
        <v>3622.3199999999997</v>
      </c>
      <c r="AP8" s="7">
        <f>+AP7</f>
        <v>5</v>
      </c>
      <c r="AQ8" s="7">
        <f t="shared" ref="AQ8:AQ41" si="19">+AQ7*$BF8/$BF7</f>
        <v>325.77144000000004</v>
      </c>
      <c r="AR8" s="22">
        <f>+AP8*AQ8</f>
        <v>1628.8572000000001</v>
      </c>
      <c r="AS8" s="7">
        <f>+AS7</f>
        <v>43.7</v>
      </c>
      <c r="AT8" s="7">
        <f t="shared" ref="AT8:AT41" si="20">+AT7*$BF8/$BF7</f>
        <v>206.39999999999998</v>
      </c>
      <c r="AU8" s="22">
        <f>+AS8*AT8</f>
        <v>9019.68</v>
      </c>
      <c r="AW8" s="7">
        <f>4.55*F8</f>
        <v>204.75</v>
      </c>
      <c r="AY8" s="22">
        <f>+M8+Q8+U8+Y8+AB8+AF8+AK8+AN8+AR8+AU8+AW8</f>
        <v>21639.628430019824</v>
      </c>
      <c r="BA8" s="22">
        <f t="shared" si="2"/>
        <v>10321.586523251204</v>
      </c>
      <c r="BC8" s="6">
        <f t="shared" ref="BC8:BC41" si="21">+(M8+Q8+U8+Y8+AF8+AK8+AN8+AR8+AU8)/(C8-AA8)</f>
        <v>29.620719554556285</v>
      </c>
      <c r="BE8" s="7">
        <v>130.28</v>
      </c>
      <c r="BF8" s="7">
        <f>+BF7+(BF7*0.032)</f>
        <v>146.33760000000001</v>
      </c>
      <c r="BG8" s="7">
        <f>+BG7+(BG7*0.032)</f>
        <v>129.25800000000001</v>
      </c>
      <c r="BH8" s="7">
        <v>99.1481416488881</v>
      </c>
    </row>
    <row r="9" spans="1:60" x14ac:dyDescent="0.2">
      <c r="A9" s="8">
        <f t="shared" si="3"/>
        <v>2023</v>
      </c>
      <c r="B9" s="22">
        <f>+B8*0.99</f>
        <v>706.86</v>
      </c>
      <c r="C9" s="22">
        <f t="shared" si="4"/>
        <v>735.10903426791276</v>
      </c>
      <c r="E9" s="15">
        <f t="shared" ref="E9:E20" si="22">E8*((E$21/E$7)^(1/($A$21-$A$7)))</f>
        <v>44.055411896306353</v>
      </c>
      <c r="F9" s="16">
        <v>45</v>
      </c>
      <c r="H9" s="22">
        <f t="shared" si="0"/>
        <v>31141.008453023111</v>
      </c>
      <c r="I9" s="22">
        <f t="shared" si="0"/>
        <v>33079.906542056073</v>
      </c>
      <c r="K9" s="54">
        <f t="shared" ref="K9:K41" si="23">+K8</f>
        <v>25</v>
      </c>
      <c r="L9" s="7">
        <f t="shared" si="5"/>
        <v>45.744231994922515</v>
      </c>
      <c r="M9" s="7">
        <f t="shared" si="6"/>
        <v>1143.6057998730628</v>
      </c>
      <c r="O9" s="15">
        <f t="shared" ref="O9:O41" si="24">+O8</f>
        <v>6</v>
      </c>
      <c r="P9" s="7">
        <f t="shared" si="7"/>
        <v>10.257005195608038</v>
      </c>
      <c r="Q9" s="7">
        <f t="shared" si="8"/>
        <v>61.542031173648226</v>
      </c>
      <c r="S9" s="15">
        <f t="shared" ref="S9:S41" si="25">+S8</f>
        <v>49</v>
      </c>
      <c r="T9" s="7">
        <f t="shared" si="9"/>
        <v>14.812322208951612</v>
      </c>
      <c r="U9" s="7">
        <f t="shared" si="10"/>
        <v>725.80378823862895</v>
      </c>
      <c r="W9" s="14">
        <f t="shared" ref="W9:W41" si="26">+W8</f>
        <v>6</v>
      </c>
      <c r="X9" s="7">
        <f t="shared" si="11"/>
        <v>60.74761606536093</v>
      </c>
      <c r="Y9" s="22">
        <f t="shared" si="12"/>
        <v>364.48569639216555</v>
      </c>
      <c r="AA9" s="7">
        <f t="shared" si="13"/>
        <v>26.625600000000002</v>
      </c>
      <c r="AB9" s="7">
        <f t="shared" si="1"/>
        <v>1198.152</v>
      </c>
      <c r="AD9" s="7">
        <f t="shared" ref="AD9:AD41" si="27">+AD8</f>
        <v>60</v>
      </c>
      <c r="AE9" s="7">
        <f t="shared" si="14"/>
        <v>37.275840000000002</v>
      </c>
      <c r="AF9" s="22">
        <f t="shared" si="15"/>
        <v>2236.5504000000001</v>
      </c>
      <c r="AH9" s="15">
        <f t="shared" ref="AH9:AH41" si="28">+AH8</f>
        <v>11</v>
      </c>
      <c r="AI9" s="7">
        <f t="shared" si="16"/>
        <v>118.66760124610592</v>
      </c>
      <c r="AJ9" s="7">
        <f t="shared" si="17"/>
        <v>315.04672897196258</v>
      </c>
      <c r="AK9" s="7">
        <f t="shared" ref="AK9:AK41" si="29">(+AH9*AI9)+AJ9</f>
        <v>1620.3903426791276</v>
      </c>
      <c r="AM9" s="7">
        <f t="shared" si="18"/>
        <v>83.071871999999999</v>
      </c>
      <c r="AN9" s="22">
        <f t="shared" ref="AN9:AN41" si="30">AM9*F9</f>
        <v>3738.2342399999998</v>
      </c>
      <c r="AP9" s="7">
        <f t="shared" ref="AP9:AP41" si="31">+AP8</f>
        <v>5</v>
      </c>
      <c r="AQ9" s="7">
        <f t="shared" si="19"/>
        <v>336.19612608</v>
      </c>
      <c r="AR9" s="22">
        <f t="shared" ref="AR9:AR41" si="32">+AP9*AQ9</f>
        <v>1680.9806303999999</v>
      </c>
      <c r="AS9" s="7">
        <f t="shared" ref="AS9:AS41" si="33">+AS8</f>
        <v>43.7</v>
      </c>
      <c r="AT9" s="7">
        <f t="shared" si="20"/>
        <v>213.00479999999996</v>
      </c>
      <c r="AU9" s="22">
        <f t="shared" ref="AU9:AU41" si="34">+AS9*AT9</f>
        <v>9308.3097599999983</v>
      </c>
      <c r="AW9" s="7">
        <f t="shared" ref="AW9:AW41" si="35">4.55*F9</f>
        <v>204.75</v>
      </c>
      <c r="AY9" s="22">
        <f t="shared" ref="AY9:AY41" si="36">+M9+Q9+U9+Y9+AB9+AF9+AK9+AN9+AR9+AU9+AW9</f>
        <v>22282.804688756631</v>
      </c>
      <c r="BA9" s="22">
        <f t="shared" si="2"/>
        <v>10797.101853299442</v>
      </c>
      <c r="BC9" s="6">
        <f t="shared" si="21"/>
        <v>29.471264505051082</v>
      </c>
      <c r="BE9" s="7">
        <v>134.84</v>
      </c>
      <c r="BF9" s="7">
        <f t="shared" ref="BF9:BG24" si="37">+BF8+(BF8*0.032)</f>
        <v>151.0204032</v>
      </c>
      <c r="BG9" s="7">
        <f t="shared" si="37"/>
        <v>133.39425600000001</v>
      </c>
      <c r="BH9" s="7">
        <v>100.24906839716456</v>
      </c>
    </row>
    <row r="10" spans="1:60" x14ac:dyDescent="0.2">
      <c r="A10" s="8">
        <f t="shared" si="3"/>
        <v>2024</v>
      </c>
      <c r="B10" s="22">
        <f>+B9*0.99</f>
        <v>699.79139999999995</v>
      </c>
      <c r="C10" s="22">
        <f t="shared" si="4"/>
        <v>753.48130841121497</v>
      </c>
      <c r="E10" s="15">
        <f t="shared" si="22"/>
        <v>43.590579452960199</v>
      </c>
      <c r="F10" s="16">
        <v>45</v>
      </c>
      <c r="H10" s="22">
        <f t="shared" si="0"/>
        <v>30504.312622198249</v>
      </c>
      <c r="I10" s="22">
        <f t="shared" si="0"/>
        <v>33906.658878504677</v>
      </c>
      <c r="K10" s="54">
        <f t="shared" si="23"/>
        <v>25</v>
      </c>
      <c r="L10" s="7">
        <f t="shared" si="5"/>
        <v>47.114537295720687</v>
      </c>
      <c r="M10" s="7">
        <f t="shared" si="6"/>
        <v>1177.8634323930171</v>
      </c>
      <c r="O10" s="15">
        <f t="shared" si="24"/>
        <v>6</v>
      </c>
      <c r="P10" s="7">
        <f t="shared" si="7"/>
        <v>10.564262044764805</v>
      </c>
      <c r="Q10" s="7">
        <f t="shared" si="8"/>
        <v>63.385572268588831</v>
      </c>
      <c r="S10" s="15">
        <f t="shared" si="25"/>
        <v>49</v>
      </c>
      <c r="T10" s="7">
        <f t="shared" si="9"/>
        <v>15.256037246998588</v>
      </c>
      <c r="U10" s="7">
        <f t="shared" si="10"/>
        <v>747.54582510293085</v>
      </c>
      <c r="W10" s="14">
        <f t="shared" si="26"/>
        <v>6</v>
      </c>
      <c r="X10" s="7">
        <f t="shared" si="11"/>
        <v>62.567359816102126</v>
      </c>
      <c r="Y10" s="22">
        <f t="shared" si="12"/>
        <v>375.40415889661278</v>
      </c>
      <c r="AA10" s="7">
        <f t="shared" si="13"/>
        <v>27.477619200000003</v>
      </c>
      <c r="AB10" s="7">
        <f t="shared" si="1"/>
        <v>1236.4928640000001</v>
      </c>
      <c r="AD10" s="7">
        <f t="shared" si="27"/>
        <v>60</v>
      </c>
      <c r="AE10" s="7">
        <f t="shared" si="14"/>
        <v>38.468666880000001</v>
      </c>
      <c r="AF10" s="22">
        <f t="shared" si="15"/>
        <v>2308.1200128</v>
      </c>
      <c r="AH10" s="15">
        <f t="shared" si="28"/>
        <v>11</v>
      </c>
      <c r="AI10" s="7">
        <f t="shared" si="16"/>
        <v>121.63341121495328</v>
      </c>
      <c r="AJ10" s="7">
        <f t="shared" si="17"/>
        <v>322.9205607476635</v>
      </c>
      <c r="AK10" s="7">
        <f t="shared" si="29"/>
        <v>1660.8880841121497</v>
      </c>
      <c r="AM10" s="7">
        <f t="shared" si="18"/>
        <v>85.730171904000002</v>
      </c>
      <c r="AN10" s="22">
        <f t="shared" si="30"/>
        <v>3857.8577356800001</v>
      </c>
      <c r="AP10" s="7">
        <f t="shared" si="31"/>
        <v>5</v>
      </c>
      <c r="AQ10" s="7">
        <f t="shared" si="19"/>
        <v>346.95440211456003</v>
      </c>
      <c r="AR10" s="22">
        <f t="shared" si="32"/>
        <v>1734.7720105728001</v>
      </c>
      <c r="AS10" s="7">
        <f t="shared" si="33"/>
        <v>43.7</v>
      </c>
      <c r="AT10" s="7">
        <f t="shared" si="20"/>
        <v>219.8209536</v>
      </c>
      <c r="AU10" s="22">
        <f t="shared" si="34"/>
        <v>9606.1756723199996</v>
      </c>
      <c r="AW10" s="7">
        <f t="shared" si="35"/>
        <v>204.75</v>
      </c>
      <c r="AY10" s="22">
        <f t="shared" si="36"/>
        <v>22973.255368146099</v>
      </c>
      <c r="BA10" s="22">
        <f t="shared" si="2"/>
        <v>10933.403510358577</v>
      </c>
      <c r="BC10" s="6">
        <f t="shared" si="21"/>
        <v>29.658268716981453</v>
      </c>
      <c r="BE10" s="7">
        <v>138.21</v>
      </c>
      <c r="BF10" s="7">
        <f t="shared" si="37"/>
        <v>155.85305610240002</v>
      </c>
      <c r="BG10" s="7">
        <f t="shared" si="37"/>
        <v>137.66287219200001</v>
      </c>
      <c r="BH10" s="7">
        <v>103.25210995746359</v>
      </c>
    </row>
    <row r="11" spans="1:60" x14ac:dyDescent="0.2">
      <c r="A11" s="8">
        <f t="shared" si="3"/>
        <v>2025</v>
      </c>
      <c r="B11" s="22">
        <f t="shared" ref="B11:B12" si="38">+B10*0.99</f>
        <v>692.79348599999992</v>
      </c>
      <c r="C11" s="22">
        <f t="shared" si="4"/>
        <v>777.59271028037381</v>
      </c>
      <c r="E11" s="15">
        <f t="shared" si="22"/>
        <v>43.130651496738025</v>
      </c>
      <c r="F11" s="16">
        <v>45</v>
      </c>
      <c r="H11" s="22">
        <f t="shared" si="0"/>
        <v>29880.634403876251</v>
      </c>
      <c r="I11" s="22">
        <f t="shared" si="0"/>
        <v>34991.67196261682</v>
      </c>
      <c r="K11" s="54">
        <f t="shared" si="23"/>
        <v>25</v>
      </c>
      <c r="L11" s="7">
        <f t="shared" si="5"/>
        <v>48.299487429195842</v>
      </c>
      <c r="M11" s="7">
        <f t="shared" si="6"/>
        <v>1207.4871857298961</v>
      </c>
      <c r="O11" s="15">
        <f t="shared" si="24"/>
        <v>6</v>
      </c>
      <c r="P11" s="7">
        <f t="shared" si="7"/>
        <v>10.829957612174049</v>
      </c>
      <c r="Q11" s="7">
        <f t="shared" si="8"/>
        <v>64.979745673044292</v>
      </c>
      <c r="S11" s="15">
        <f t="shared" si="25"/>
        <v>49</v>
      </c>
      <c r="T11" s="7">
        <f t="shared" si="9"/>
        <v>15.639732904639589</v>
      </c>
      <c r="U11" s="7">
        <f t="shared" si="10"/>
        <v>766.34691232733985</v>
      </c>
      <c r="W11" s="14">
        <f t="shared" si="26"/>
        <v>6</v>
      </c>
      <c r="X11" s="7">
        <f t="shared" si="11"/>
        <v>64.140954838375905</v>
      </c>
      <c r="Y11" s="22">
        <f t="shared" si="12"/>
        <v>384.84572903025543</v>
      </c>
      <c r="AA11" s="7">
        <f t="shared" si="13"/>
        <v>28.356903014400004</v>
      </c>
      <c r="AB11" s="7">
        <f t="shared" si="1"/>
        <v>1276.0606356480002</v>
      </c>
      <c r="AD11" s="7">
        <f t="shared" si="27"/>
        <v>60</v>
      </c>
      <c r="AE11" s="7">
        <f t="shared" si="14"/>
        <v>39.699664220160003</v>
      </c>
      <c r="AF11" s="22">
        <f t="shared" si="15"/>
        <v>2381.9798532096002</v>
      </c>
      <c r="AH11" s="15">
        <f t="shared" si="28"/>
        <v>11</v>
      </c>
      <c r="AI11" s="7">
        <f t="shared" si="16"/>
        <v>125.52568037383178</v>
      </c>
      <c r="AJ11" s="7">
        <f t="shared" si="17"/>
        <v>333.25401869158873</v>
      </c>
      <c r="AK11" s="7">
        <f t="shared" si="29"/>
        <v>1714.0365028037384</v>
      </c>
      <c r="AM11" s="7">
        <f t="shared" si="18"/>
        <v>88.473537404927995</v>
      </c>
      <c r="AN11" s="22">
        <f t="shared" si="30"/>
        <v>3981.3091832217597</v>
      </c>
      <c r="AP11" s="7">
        <f t="shared" si="31"/>
        <v>5</v>
      </c>
      <c r="AQ11" s="7">
        <f t="shared" si="19"/>
        <v>358.05694298222591</v>
      </c>
      <c r="AR11" s="22">
        <f t="shared" si="32"/>
        <v>1790.2847149111294</v>
      </c>
      <c r="AS11" s="7">
        <f t="shared" si="33"/>
        <v>43.7</v>
      </c>
      <c r="AT11" s="7">
        <f t="shared" si="20"/>
        <v>226.85522411519997</v>
      </c>
      <c r="AU11" s="22">
        <f t="shared" si="34"/>
        <v>9913.5732938342389</v>
      </c>
      <c r="AW11" s="7">
        <f t="shared" si="35"/>
        <v>204.75</v>
      </c>
      <c r="AY11" s="22">
        <f t="shared" si="36"/>
        <v>23685.653756389002</v>
      </c>
      <c r="BA11" s="22">
        <f t="shared" si="2"/>
        <v>11306.018206227818</v>
      </c>
      <c r="BC11" s="6">
        <f t="shared" si="21"/>
        <v>29.636654982852988</v>
      </c>
      <c r="BE11" s="7">
        <f t="shared" ref="BE11:BG26" si="39">+BE10+(BE10*0.032)</f>
        <v>142.63272000000001</v>
      </c>
      <c r="BF11" s="7">
        <f t="shared" si="37"/>
        <v>160.84035389767681</v>
      </c>
      <c r="BG11" s="7">
        <f t="shared" si="37"/>
        <v>142.06808410214401</v>
      </c>
      <c r="BH11" s="7">
        <v>105.84894330229197</v>
      </c>
    </row>
    <row r="12" spans="1:60" x14ac:dyDescent="0.2">
      <c r="A12" s="8">
        <f t="shared" si="3"/>
        <v>2026</v>
      </c>
      <c r="B12" s="22">
        <f t="shared" si="38"/>
        <v>685.86555113999987</v>
      </c>
      <c r="C12" s="22">
        <f t="shared" si="4"/>
        <v>802.47567700934576</v>
      </c>
      <c r="E12" s="15">
        <f t="shared" si="22"/>
        <v>42.675576279973995</v>
      </c>
      <c r="F12" s="16">
        <v>45</v>
      </c>
      <c r="H12" s="22">
        <f t="shared" si="0"/>
        <v>29269.707645481471</v>
      </c>
      <c r="I12" s="22">
        <f t="shared" si="0"/>
        <v>36111.405465420561</v>
      </c>
      <c r="K12" s="54">
        <f t="shared" si="23"/>
        <v>25</v>
      </c>
      <c r="L12" s="7">
        <f t="shared" si="5"/>
        <v>50.330538658111635</v>
      </c>
      <c r="M12" s="7">
        <f t="shared" si="6"/>
        <v>1258.2634664527909</v>
      </c>
      <c r="O12" s="15">
        <f t="shared" si="24"/>
        <v>6</v>
      </c>
      <c r="P12" s="7">
        <f t="shared" si="7"/>
        <v>11.285370286057125</v>
      </c>
      <c r="Q12" s="7">
        <f t="shared" si="8"/>
        <v>67.712221716342754</v>
      </c>
      <c r="S12" s="15">
        <f t="shared" si="25"/>
        <v>49</v>
      </c>
      <c r="T12" s="7">
        <f t="shared" si="9"/>
        <v>16.297402383688382</v>
      </c>
      <c r="U12" s="7">
        <f t="shared" si="10"/>
        <v>798.57271680073075</v>
      </c>
      <c r="W12" s="14">
        <f t="shared" si="26"/>
        <v>6</v>
      </c>
      <c r="X12" s="7">
        <f t="shared" si="11"/>
        <v>66.838158723599093</v>
      </c>
      <c r="Y12" s="22">
        <f t="shared" si="12"/>
        <v>401.02895234159456</v>
      </c>
      <c r="AA12" s="7">
        <f t="shared" si="13"/>
        <v>29.264323910860806</v>
      </c>
      <c r="AB12" s="7">
        <f t="shared" si="1"/>
        <v>1316.8945759887363</v>
      </c>
      <c r="AD12" s="7">
        <f t="shared" si="27"/>
        <v>60</v>
      </c>
      <c r="AE12" s="7">
        <f t="shared" si="14"/>
        <v>40.970053475205127</v>
      </c>
      <c r="AF12" s="22">
        <f t="shared" si="15"/>
        <v>2458.2032085123078</v>
      </c>
      <c r="AH12" s="15">
        <f t="shared" si="28"/>
        <v>11</v>
      </c>
      <c r="AI12" s="7">
        <f t="shared" si="16"/>
        <v>129.5425021457944</v>
      </c>
      <c r="AJ12" s="7">
        <f t="shared" si="17"/>
        <v>343.91814728971957</v>
      </c>
      <c r="AK12" s="7">
        <f t="shared" si="29"/>
        <v>1768.8856708934579</v>
      </c>
      <c r="AM12" s="7">
        <f t="shared" si="18"/>
        <v>91.304690601885682</v>
      </c>
      <c r="AN12" s="22">
        <f t="shared" si="30"/>
        <v>4108.7110770848558</v>
      </c>
      <c r="AP12" s="7">
        <f t="shared" si="31"/>
        <v>5</v>
      </c>
      <c r="AQ12" s="7">
        <f t="shared" si="19"/>
        <v>369.51476515765711</v>
      </c>
      <c r="AR12" s="22">
        <f t="shared" si="32"/>
        <v>1847.5738257882856</v>
      </c>
      <c r="AS12" s="7">
        <f t="shared" si="33"/>
        <v>43.7</v>
      </c>
      <c r="AT12" s="7">
        <f t="shared" si="20"/>
        <v>234.11459128688637</v>
      </c>
      <c r="AU12" s="22">
        <f t="shared" si="34"/>
        <v>10230.807639236935</v>
      </c>
      <c r="AW12" s="7">
        <f t="shared" si="35"/>
        <v>204.75</v>
      </c>
      <c r="AY12" s="22">
        <f t="shared" si="36"/>
        <v>24461.403354816037</v>
      </c>
      <c r="BA12" s="22">
        <f t="shared" si="2"/>
        <v>11650.002110604524</v>
      </c>
      <c r="BC12" s="6">
        <f t="shared" si="21"/>
        <v>29.668160829378603</v>
      </c>
      <c r="BE12" s="7">
        <f t="shared" si="39"/>
        <v>147.19696704</v>
      </c>
      <c r="BF12" s="7">
        <f t="shared" si="37"/>
        <v>165.98724522240246</v>
      </c>
      <c r="BG12" s="7">
        <f t="shared" si="37"/>
        <v>146.61426279341262</v>
      </c>
      <c r="BH12" s="7">
        <v>110.30001799927945</v>
      </c>
    </row>
    <row r="13" spans="1:60" x14ac:dyDescent="0.2">
      <c r="A13" s="8">
        <f t="shared" si="3"/>
        <v>2027</v>
      </c>
      <c r="B13" s="22">
        <f>+B12</f>
        <v>685.86555113999987</v>
      </c>
      <c r="C13" s="22">
        <f t="shared" si="4"/>
        <v>828.15489867364488</v>
      </c>
      <c r="E13" s="15">
        <f t="shared" si="22"/>
        <v>42.225302600996351</v>
      </c>
      <c r="F13" s="16">
        <v>45</v>
      </c>
      <c r="H13" s="22">
        <f t="shared" si="0"/>
        <v>28960.880440485631</v>
      </c>
      <c r="I13" s="22">
        <f t="shared" si="0"/>
        <v>37266.97044031402</v>
      </c>
      <c r="K13" s="54">
        <f t="shared" si="23"/>
        <v>25</v>
      </c>
      <c r="L13" s="7">
        <f t="shared" si="5"/>
        <v>52.446538034588372</v>
      </c>
      <c r="M13" s="7">
        <f t="shared" si="6"/>
        <v>1311.1634508647094</v>
      </c>
      <c r="O13" s="15">
        <f t="shared" si="24"/>
        <v>6</v>
      </c>
      <c r="P13" s="7">
        <f t="shared" si="7"/>
        <v>11.759830467197217</v>
      </c>
      <c r="Q13" s="7">
        <f t="shared" si="8"/>
        <v>70.558982803183298</v>
      </c>
      <c r="S13" s="15">
        <f t="shared" si="25"/>
        <v>49</v>
      </c>
      <c r="T13" s="7">
        <f t="shared" si="9"/>
        <v>16.982578704099513</v>
      </c>
      <c r="U13" s="7">
        <f t="shared" si="10"/>
        <v>832.1463565008761</v>
      </c>
      <c r="W13" s="14">
        <f t="shared" si="26"/>
        <v>6</v>
      </c>
      <c r="X13" s="7">
        <f t="shared" si="11"/>
        <v>69.648172404253302</v>
      </c>
      <c r="Y13" s="22">
        <f t="shared" si="12"/>
        <v>417.88903442551981</v>
      </c>
      <c r="AA13" s="7">
        <f t="shared" si="13"/>
        <v>30.200782276008354</v>
      </c>
      <c r="AB13" s="7">
        <f t="shared" si="1"/>
        <v>1359.035202420376</v>
      </c>
      <c r="AD13" s="7">
        <f t="shared" si="27"/>
        <v>60</v>
      </c>
      <c r="AE13" s="7">
        <f t="shared" si="14"/>
        <v>42.28109518641169</v>
      </c>
      <c r="AF13" s="22">
        <f t="shared" si="15"/>
        <v>2536.8657111847015</v>
      </c>
      <c r="AH13" s="15">
        <f t="shared" si="28"/>
        <v>11</v>
      </c>
      <c r="AI13" s="7">
        <f t="shared" si="16"/>
        <v>133.68786221445981</v>
      </c>
      <c r="AJ13" s="7">
        <f t="shared" si="17"/>
        <v>354.92352800299062</v>
      </c>
      <c r="AK13" s="7">
        <f t="shared" si="29"/>
        <v>1825.4900123620487</v>
      </c>
      <c r="AM13" s="7">
        <f t="shared" si="18"/>
        <v>94.226440701146032</v>
      </c>
      <c r="AN13" s="22">
        <f t="shared" si="30"/>
        <v>4240.1898315515718</v>
      </c>
      <c r="AP13" s="7">
        <f t="shared" si="31"/>
        <v>5</v>
      </c>
      <c r="AQ13" s="7">
        <f t="shared" si="19"/>
        <v>381.33923764270219</v>
      </c>
      <c r="AR13" s="22">
        <f t="shared" si="32"/>
        <v>1906.696188213511</v>
      </c>
      <c r="AS13" s="7">
        <f t="shared" si="33"/>
        <v>43.7</v>
      </c>
      <c r="AT13" s="7">
        <f t="shared" si="20"/>
        <v>241.60625820806675</v>
      </c>
      <c r="AU13" s="22">
        <f t="shared" si="34"/>
        <v>10558.193483692517</v>
      </c>
      <c r="AW13" s="7">
        <f t="shared" si="35"/>
        <v>204.75</v>
      </c>
      <c r="AY13" s="22">
        <f t="shared" si="36"/>
        <v>25262.978254019014</v>
      </c>
      <c r="BA13" s="22">
        <f t="shared" si="2"/>
        <v>12003.992186295007</v>
      </c>
      <c r="BC13" s="6">
        <f t="shared" si="21"/>
        <v>29.699944601562599</v>
      </c>
      <c r="BE13" s="7">
        <f t="shared" si="39"/>
        <v>151.90726998528001</v>
      </c>
      <c r="BF13" s="7">
        <f t="shared" si="37"/>
        <v>171.29883706951935</v>
      </c>
      <c r="BG13" s="7">
        <f t="shared" si="37"/>
        <v>151.30591920280182</v>
      </c>
      <c r="BH13" s="7">
        <v>114.93725764611229</v>
      </c>
    </row>
    <row r="14" spans="1:60" x14ac:dyDescent="0.2">
      <c r="A14" s="8">
        <f t="shared" si="3"/>
        <v>2028</v>
      </c>
      <c r="B14" s="22">
        <f t="shared" ref="B14:B41" si="40">+B13</f>
        <v>685.86555113999987</v>
      </c>
      <c r="C14" s="22">
        <f t="shared" si="4"/>
        <v>854.65585543120153</v>
      </c>
      <c r="E14" s="15">
        <f t="shared" si="22"/>
        <v>41.779779798366569</v>
      </c>
      <c r="F14" s="16">
        <v>45</v>
      </c>
      <c r="H14" s="22">
        <f t="shared" si="0"/>
        <v>28655.31169791452</v>
      </c>
      <c r="I14" s="22">
        <f t="shared" si="0"/>
        <v>38459.513494404069</v>
      </c>
      <c r="K14" s="54">
        <f t="shared" si="23"/>
        <v>25</v>
      </c>
      <c r="L14" s="7">
        <f t="shared" si="5"/>
        <v>54.463254084507078</v>
      </c>
      <c r="M14" s="7">
        <f t="shared" si="6"/>
        <v>1361.581352112677</v>
      </c>
      <c r="O14" s="15">
        <f t="shared" si="24"/>
        <v>6</v>
      </c>
      <c r="P14" s="7">
        <f t="shared" si="7"/>
        <v>12.212028834072811</v>
      </c>
      <c r="Q14" s="7">
        <f t="shared" si="8"/>
        <v>73.272173004436866</v>
      </c>
      <c r="S14" s="15">
        <f t="shared" si="25"/>
        <v>49</v>
      </c>
      <c r="T14" s="7">
        <f t="shared" si="9"/>
        <v>17.63560634567574</v>
      </c>
      <c r="U14" s="7">
        <f t="shared" si="10"/>
        <v>864.1447109381113</v>
      </c>
      <c r="W14" s="14">
        <f t="shared" si="26"/>
        <v>6</v>
      </c>
      <c r="X14" s="7">
        <f t="shared" si="11"/>
        <v>72.326339398660608</v>
      </c>
      <c r="Y14" s="22">
        <f t="shared" si="12"/>
        <v>433.95803639196367</v>
      </c>
      <c r="AA14" s="7">
        <f t="shared" si="13"/>
        <v>31.167207308840624</v>
      </c>
      <c r="AB14" s="7">
        <f t="shared" si="1"/>
        <v>1402.5243288978281</v>
      </c>
      <c r="AD14" s="7">
        <f t="shared" si="27"/>
        <v>60</v>
      </c>
      <c r="AE14" s="7">
        <f t="shared" si="14"/>
        <v>43.634090232376863</v>
      </c>
      <c r="AF14" s="22">
        <f t="shared" si="15"/>
        <v>2618.045413942612</v>
      </c>
      <c r="AH14" s="15">
        <f t="shared" si="28"/>
        <v>11</v>
      </c>
      <c r="AI14" s="7">
        <f t="shared" si="16"/>
        <v>137.96587380532253</v>
      </c>
      <c r="AJ14" s="7">
        <f t="shared" si="17"/>
        <v>366.28108089908631</v>
      </c>
      <c r="AK14" s="7">
        <f t="shared" si="29"/>
        <v>1883.9056927576339</v>
      </c>
      <c r="AM14" s="7">
        <f t="shared" si="18"/>
        <v>97.241686803582724</v>
      </c>
      <c r="AN14" s="22">
        <f t="shared" si="30"/>
        <v>4375.8759061612227</v>
      </c>
      <c r="AP14" s="7">
        <f t="shared" si="31"/>
        <v>5</v>
      </c>
      <c r="AQ14" s="7">
        <f t="shared" si="19"/>
        <v>393.54209324726872</v>
      </c>
      <c r="AR14" s="22">
        <f t="shared" si="32"/>
        <v>1967.7104662363436</v>
      </c>
      <c r="AS14" s="7">
        <f t="shared" si="33"/>
        <v>43.7</v>
      </c>
      <c r="AT14" s="7">
        <f t="shared" si="20"/>
        <v>249.33765847072488</v>
      </c>
      <c r="AU14" s="22">
        <f t="shared" si="34"/>
        <v>10896.055675170677</v>
      </c>
      <c r="AW14" s="7">
        <f t="shared" si="35"/>
        <v>204.75</v>
      </c>
      <c r="AY14" s="22">
        <f t="shared" si="36"/>
        <v>26081.823755613506</v>
      </c>
      <c r="BA14" s="22">
        <f t="shared" si="2"/>
        <v>12377.689738790563</v>
      </c>
      <c r="BC14" s="6">
        <f t="shared" si="21"/>
        <v>29.72056686211786</v>
      </c>
      <c r="BE14" s="7">
        <f t="shared" si="39"/>
        <v>156.76830262480897</v>
      </c>
      <c r="BF14" s="7">
        <f t="shared" si="37"/>
        <v>176.78039985574398</v>
      </c>
      <c r="BG14" s="7">
        <f t="shared" si="37"/>
        <v>156.14770861729147</v>
      </c>
      <c r="BH14" s="7">
        <v>119.35691661532179</v>
      </c>
    </row>
    <row r="15" spans="1:60" x14ac:dyDescent="0.2">
      <c r="A15" s="8">
        <f t="shared" si="3"/>
        <v>2029</v>
      </c>
      <c r="B15" s="22">
        <f t="shared" si="40"/>
        <v>685.86555113999987</v>
      </c>
      <c r="C15" s="22">
        <f t="shared" si="4"/>
        <v>882.00484280499995</v>
      </c>
      <c r="E15" s="15">
        <f t="shared" si="22"/>
        <v>41.338957745179336</v>
      </c>
      <c r="F15" s="16">
        <v>45</v>
      </c>
      <c r="H15" s="22">
        <f t="shared" si="0"/>
        <v>28352.967037450591</v>
      </c>
      <c r="I15" s="22">
        <f t="shared" si="0"/>
        <v>39690.217926224999</v>
      </c>
      <c r="K15" s="54">
        <f t="shared" si="23"/>
        <v>25</v>
      </c>
      <c r="L15" s="7">
        <f t="shared" si="5"/>
        <v>55.519070122930579</v>
      </c>
      <c r="M15" s="7">
        <f t="shared" si="6"/>
        <v>1387.9767530732645</v>
      </c>
      <c r="O15" s="15">
        <f t="shared" si="24"/>
        <v>6</v>
      </c>
      <c r="P15" s="7">
        <f t="shared" si="7"/>
        <v>12.448769295535104</v>
      </c>
      <c r="Q15" s="7">
        <f t="shared" si="8"/>
        <v>74.692615773210633</v>
      </c>
      <c r="S15" s="15">
        <f t="shared" si="25"/>
        <v>49</v>
      </c>
      <c r="T15" s="7">
        <f t="shared" si="9"/>
        <v>17.977487423846288</v>
      </c>
      <c r="U15" s="7">
        <f t="shared" si="10"/>
        <v>880.89688376846811</v>
      </c>
      <c r="W15" s="14">
        <f t="shared" si="26"/>
        <v>6</v>
      </c>
      <c r="X15" s="7">
        <f t="shared" si="11"/>
        <v>73.728446386595621</v>
      </c>
      <c r="Y15" s="22">
        <f t="shared" si="12"/>
        <v>442.3706783195737</v>
      </c>
      <c r="AA15" s="7">
        <f t="shared" si="13"/>
        <v>32.164557942723526</v>
      </c>
      <c r="AB15" s="7">
        <f t="shared" si="1"/>
        <v>1447.4051074225588</v>
      </c>
      <c r="AD15" s="7">
        <f t="shared" si="27"/>
        <v>60</v>
      </c>
      <c r="AE15" s="7">
        <f t="shared" si="14"/>
        <v>45.030381119812922</v>
      </c>
      <c r="AF15" s="22">
        <f t="shared" si="15"/>
        <v>2701.8228671887755</v>
      </c>
      <c r="AH15" s="15">
        <f t="shared" si="28"/>
        <v>11</v>
      </c>
      <c r="AI15" s="7">
        <f t="shared" si="16"/>
        <v>142.38078176709288</v>
      </c>
      <c r="AJ15" s="7">
        <f t="shared" si="17"/>
        <v>378.00207548785704</v>
      </c>
      <c r="AK15" s="7">
        <f t="shared" si="29"/>
        <v>1944.1906749258787</v>
      </c>
      <c r="AM15" s="7">
        <f t="shared" si="18"/>
        <v>100.35342078129736</v>
      </c>
      <c r="AN15" s="22">
        <f t="shared" si="30"/>
        <v>4515.9039351583815</v>
      </c>
      <c r="AP15" s="7">
        <f t="shared" si="31"/>
        <v>5</v>
      </c>
      <c r="AQ15" s="7">
        <f t="shared" si="19"/>
        <v>406.13544023118129</v>
      </c>
      <c r="AR15" s="22">
        <f t="shared" si="32"/>
        <v>2030.6772011559065</v>
      </c>
      <c r="AS15" s="7">
        <f t="shared" si="33"/>
        <v>43.7</v>
      </c>
      <c r="AT15" s="7">
        <f t="shared" si="20"/>
        <v>257.3164635417881</v>
      </c>
      <c r="AU15" s="22">
        <f t="shared" si="34"/>
        <v>11244.72945677614</v>
      </c>
      <c r="AW15" s="7">
        <f t="shared" si="35"/>
        <v>204.75</v>
      </c>
      <c r="AY15" s="22">
        <f t="shared" si="36"/>
        <v>26875.41617356216</v>
      </c>
      <c r="BA15" s="22">
        <f t="shared" si="2"/>
        <v>12814.801752662839</v>
      </c>
      <c r="BC15" s="6">
        <f t="shared" si="21"/>
        <v>29.680001660814696</v>
      </c>
      <c r="BE15" s="7">
        <f t="shared" si="39"/>
        <v>161.78488830880286</v>
      </c>
      <c r="BF15" s="7">
        <f t="shared" si="37"/>
        <v>182.43737265112779</v>
      </c>
      <c r="BG15" s="7">
        <f t="shared" si="37"/>
        <v>161.14443529304481</v>
      </c>
      <c r="BH15" s="7">
        <v>121.670750942292</v>
      </c>
    </row>
    <row r="16" spans="1:60" x14ac:dyDescent="0.2">
      <c r="A16" s="8">
        <f t="shared" si="3"/>
        <v>2030</v>
      </c>
      <c r="B16" s="22">
        <f t="shared" si="40"/>
        <v>685.86555113999987</v>
      </c>
      <c r="C16" s="22">
        <f t="shared" si="4"/>
        <v>910.22899777475993</v>
      </c>
      <c r="E16" s="15">
        <f t="shared" si="22"/>
        <v>40.902786843422625</v>
      </c>
      <c r="F16" s="16">
        <v>45</v>
      </c>
      <c r="H16" s="22">
        <f t="shared" si="0"/>
        <v>28053.812441525995</v>
      </c>
      <c r="I16" s="22">
        <f t="shared" si="0"/>
        <v>40960.304899864197</v>
      </c>
      <c r="K16" s="54">
        <f t="shared" si="23"/>
        <v>25</v>
      </c>
      <c r="L16" s="7">
        <f t="shared" si="5"/>
        <v>56.578069787813057</v>
      </c>
      <c r="M16" s="7">
        <f t="shared" si="6"/>
        <v>1414.4517446953264</v>
      </c>
      <c r="O16" s="15">
        <f t="shared" si="24"/>
        <v>6</v>
      </c>
      <c r="P16" s="7">
        <f t="shared" si="7"/>
        <v>12.686223605972593</v>
      </c>
      <c r="Q16" s="7">
        <f t="shared" si="8"/>
        <v>76.117341635835558</v>
      </c>
      <c r="S16" s="15">
        <f t="shared" si="25"/>
        <v>49</v>
      </c>
      <c r="T16" s="7">
        <f t="shared" si="9"/>
        <v>18.320399383919248</v>
      </c>
      <c r="U16" s="7">
        <f t="shared" si="10"/>
        <v>897.69956981204314</v>
      </c>
      <c r="W16" s="14">
        <f t="shared" si="26"/>
        <v>6</v>
      </c>
      <c r="X16" s="7">
        <f t="shared" si="11"/>
        <v>75.134781180078818</v>
      </c>
      <c r="Y16" s="22">
        <f t="shared" si="12"/>
        <v>450.80868708047291</v>
      </c>
      <c r="AA16" s="7">
        <f t="shared" si="13"/>
        <v>33.193823796890683</v>
      </c>
      <c r="AB16" s="7">
        <f t="shared" si="1"/>
        <v>1493.7220708600807</v>
      </c>
      <c r="AD16" s="7">
        <f t="shared" si="27"/>
        <v>60</v>
      </c>
      <c r="AE16" s="7">
        <f t="shared" si="14"/>
        <v>46.471353315646937</v>
      </c>
      <c r="AF16" s="22">
        <f t="shared" si="15"/>
        <v>2788.281198938816</v>
      </c>
      <c r="AH16" s="15">
        <f t="shared" si="28"/>
        <v>11</v>
      </c>
      <c r="AI16" s="7">
        <f t="shared" si="16"/>
        <v>146.93696678363983</v>
      </c>
      <c r="AJ16" s="7">
        <f t="shared" si="17"/>
        <v>390.09814190346844</v>
      </c>
      <c r="AK16" s="7">
        <f t="shared" si="29"/>
        <v>2006.4047765235064</v>
      </c>
      <c r="AM16" s="7">
        <f t="shared" si="18"/>
        <v>103.56473024629889</v>
      </c>
      <c r="AN16" s="22">
        <f t="shared" si="30"/>
        <v>4660.4128610834505</v>
      </c>
      <c r="AP16" s="7">
        <f t="shared" si="31"/>
        <v>5</v>
      </c>
      <c r="AQ16" s="7">
        <f t="shared" si="19"/>
        <v>419.13177431857906</v>
      </c>
      <c r="AR16" s="22">
        <f t="shared" si="32"/>
        <v>2095.6588715928951</v>
      </c>
      <c r="AS16" s="7">
        <f t="shared" si="33"/>
        <v>43.7</v>
      </c>
      <c r="AT16" s="7">
        <f t="shared" si="20"/>
        <v>265.5505903751253</v>
      </c>
      <c r="AU16" s="22">
        <f t="shared" si="34"/>
        <v>11604.560799392977</v>
      </c>
      <c r="AW16" s="7">
        <f t="shared" si="35"/>
        <v>204.75</v>
      </c>
      <c r="AY16" s="22">
        <f t="shared" si="36"/>
        <v>27692.867921615405</v>
      </c>
      <c r="BA16" s="22">
        <f t="shared" si="2"/>
        <v>13267.436978248792</v>
      </c>
      <c r="BC16" s="6">
        <f t="shared" si="21"/>
        <v>29.638943365128085</v>
      </c>
      <c r="BE16" s="7">
        <f t="shared" si="39"/>
        <v>166.96200473468454</v>
      </c>
      <c r="BF16" s="7">
        <f t="shared" si="37"/>
        <v>188.27536857596388</v>
      </c>
      <c r="BG16" s="7">
        <f t="shared" si="37"/>
        <v>166.30105722242223</v>
      </c>
      <c r="BH16" s="7">
        <v>123.9915622272899</v>
      </c>
    </row>
    <row r="17" spans="1:60" x14ac:dyDescent="0.2">
      <c r="A17" s="8">
        <f t="shared" si="3"/>
        <v>2031</v>
      </c>
      <c r="B17" s="22">
        <f t="shared" si="40"/>
        <v>685.86555113999987</v>
      </c>
      <c r="C17" s="22">
        <f t="shared" si="4"/>
        <v>939.35632570355222</v>
      </c>
      <c r="E17" s="15">
        <f t="shared" si="22"/>
        <v>40.471218018397316</v>
      </c>
      <c r="F17" s="16">
        <v>45</v>
      </c>
      <c r="H17" s="22">
        <f t="shared" si="0"/>
        <v>27757.814251495169</v>
      </c>
      <c r="I17" s="22">
        <f t="shared" si="0"/>
        <v>42271.034656659853</v>
      </c>
      <c r="K17" s="54">
        <f t="shared" si="23"/>
        <v>25</v>
      </c>
      <c r="L17" s="7">
        <f t="shared" si="5"/>
        <v>56.877922901194445</v>
      </c>
      <c r="M17" s="7">
        <f t="shared" si="6"/>
        <v>1421.9480725298611</v>
      </c>
      <c r="O17" s="15">
        <f t="shared" si="24"/>
        <v>6</v>
      </c>
      <c r="P17" s="7">
        <f t="shared" si="7"/>
        <v>12.753458201630762</v>
      </c>
      <c r="Q17" s="7">
        <f t="shared" si="8"/>
        <v>76.520749209784569</v>
      </c>
      <c r="S17" s="15">
        <f t="shared" si="25"/>
        <v>49</v>
      </c>
      <c r="T17" s="7">
        <f t="shared" si="9"/>
        <v>18.417494050002073</v>
      </c>
      <c r="U17" s="7">
        <f t="shared" si="10"/>
        <v>902.45720845010158</v>
      </c>
      <c r="W17" s="14">
        <f t="shared" si="26"/>
        <v>6</v>
      </c>
      <c r="X17" s="7">
        <f t="shared" si="11"/>
        <v>75.532981368677838</v>
      </c>
      <c r="Y17" s="22">
        <f t="shared" si="12"/>
        <v>453.19788821206703</v>
      </c>
      <c r="AA17" s="7">
        <f t="shared" si="13"/>
        <v>34.256026158391187</v>
      </c>
      <c r="AB17" s="7">
        <f t="shared" si="1"/>
        <v>1541.5211771276033</v>
      </c>
      <c r="AD17" s="7">
        <f t="shared" si="27"/>
        <v>60</v>
      </c>
      <c r="AE17" s="7">
        <f t="shared" si="14"/>
        <v>47.958436621747637</v>
      </c>
      <c r="AF17" s="22">
        <f t="shared" si="15"/>
        <v>2877.5061973048582</v>
      </c>
      <c r="AH17" s="15">
        <f t="shared" si="28"/>
        <v>11</v>
      </c>
      <c r="AI17" s="7">
        <f t="shared" si="16"/>
        <v>151.63894972071631</v>
      </c>
      <c r="AJ17" s="7">
        <f t="shared" si="17"/>
        <v>402.58128244437938</v>
      </c>
      <c r="AK17" s="7">
        <f t="shared" si="29"/>
        <v>2070.6097293722587</v>
      </c>
      <c r="AM17" s="7">
        <f t="shared" si="18"/>
        <v>106.87880161418045</v>
      </c>
      <c r="AN17" s="22">
        <f t="shared" si="30"/>
        <v>4809.5460726381198</v>
      </c>
      <c r="AP17" s="7">
        <f t="shared" si="31"/>
        <v>5</v>
      </c>
      <c r="AQ17" s="7">
        <f t="shared" si="19"/>
        <v>432.5439910967736</v>
      </c>
      <c r="AR17" s="22">
        <f t="shared" si="32"/>
        <v>2162.719955483868</v>
      </c>
      <c r="AS17" s="7">
        <f t="shared" si="33"/>
        <v>43.7</v>
      </c>
      <c r="AT17" s="7">
        <f t="shared" si="20"/>
        <v>274.04820926712932</v>
      </c>
      <c r="AU17" s="22">
        <f t="shared" si="34"/>
        <v>11975.906744973552</v>
      </c>
      <c r="AW17" s="7">
        <f t="shared" si="35"/>
        <v>204.75</v>
      </c>
      <c r="AY17" s="22">
        <f t="shared" si="36"/>
        <v>28496.683795302073</v>
      </c>
      <c r="BA17" s="22">
        <f t="shared" si="2"/>
        <v>13774.35086135778</v>
      </c>
      <c r="BC17" s="6">
        <f t="shared" si="21"/>
        <v>29.555191431952153</v>
      </c>
      <c r="BE17" s="7">
        <f t="shared" si="39"/>
        <v>172.30478888619444</v>
      </c>
      <c r="BF17" s="7">
        <f t="shared" si="37"/>
        <v>194.30018037039471</v>
      </c>
      <c r="BG17" s="7">
        <f t="shared" si="37"/>
        <v>171.62269105353974</v>
      </c>
      <c r="BH17" s="7">
        <v>124.64869415325184</v>
      </c>
    </row>
    <row r="18" spans="1:60" x14ac:dyDescent="0.2">
      <c r="A18" s="8">
        <f t="shared" si="3"/>
        <v>2032</v>
      </c>
      <c r="B18" s="22">
        <f t="shared" si="40"/>
        <v>685.86555113999987</v>
      </c>
      <c r="C18" s="22">
        <f t="shared" si="4"/>
        <v>969.41572812606591</v>
      </c>
      <c r="E18" s="15">
        <f t="shared" si="22"/>
        <v>40.044202713195645</v>
      </c>
      <c r="F18" s="16">
        <v>45</v>
      </c>
      <c r="H18" s="22">
        <f t="shared" si="0"/>
        <v>27464.939163847808</v>
      </c>
      <c r="I18" s="22">
        <f t="shared" si="0"/>
        <v>43623.707765672967</v>
      </c>
      <c r="K18" s="54">
        <f t="shared" si="23"/>
        <v>25</v>
      </c>
      <c r="L18" s="7">
        <f t="shared" si="5"/>
        <v>57.085113195634136</v>
      </c>
      <c r="M18" s="7">
        <f t="shared" si="6"/>
        <v>1427.1278298908535</v>
      </c>
      <c r="O18" s="15">
        <f t="shared" si="24"/>
        <v>6</v>
      </c>
      <c r="P18" s="7">
        <f t="shared" si="7"/>
        <v>12.799915467036014</v>
      </c>
      <c r="Q18" s="7">
        <f t="shared" si="8"/>
        <v>76.799492802216079</v>
      </c>
      <c r="S18" s="15">
        <f t="shared" si="25"/>
        <v>49</v>
      </c>
      <c r="T18" s="7">
        <f t="shared" si="9"/>
        <v>18.48458380680789</v>
      </c>
      <c r="U18" s="7">
        <f t="shared" si="10"/>
        <v>905.74460653358665</v>
      </c>
      <c r="W18" s="14">
        <f t="shared" si="26"/>
        <v>6</v>
      </c>
      <c r="X18" s="7">
        <f t="shared" si="11"/>
        <v>75.808126800357371</v>
      </c>
      <c r="Y18" s="22">
        <f t="shared" si="12"/>
        <v>454.84876080214423</v>
      </c>
      <c r="AA18" s="7">
        <f t="shared" si="13"/>
        <v>35.352218995459708</v>
      </c>
      <c r="AB18" s="7">
        <f t="shared" si="1"/>
        <v>1590.849854795687</v>
      </c>
      <c r="AD18" s="7">
        <f t="shared" si="27"/>
        <v>60</v>
      </c>
      <c r="AE18" s="7">
        <f t="shared" si="14"/>
        <v>49.49310659364356</v>
      </c>
      <c r="AF18" s="22">
        <f t="shared" si="15"/>
        <v>2969.5863956186136</v>
      </c>
      <c r="AH18" s="15">
        <f t="shared" si="28"/>
        <v>11</v>
      </c>
      <c r="AI18" s="7">
        <f t="shared" si="16"/>
        <v>156.49139611177921</v>
      </c>
      <c r="AJ18" s="7">
        <f t="shared" si="17"/>
        <v>415.4638834825995</v>
      </c>
      <c r="AK18" s="7">
        <f t="shared" si="29"/>
        <v>2136.8692407121707</v>
      </c>
      <c r="AM18" s="7">
        <f t="shared" si="18"/>
        <v>110.29892326583422</v>
      </c>
      <c r="AN18" s="22">
        <f t="shared" si="30"/>
        <v>4963.4515469625403</v>
      </c>
      <c r="AP18" s="7">
        <f t="shared" si="31"/>
        <v>5</v>
      </c>
      <c r="AQ18" s="7">
        <f t="shared" si="19"/>
        <v>446.38539881187035</v>
      </c>
      <c r="AR18" s="22">
        <f t="shared" si="32"/>
        <v>2231.9269940593517</v>
      </c>
      <c r="AS18" s="7">
        <f t="shared" si="33"/>
        <v>43.7</v>
      </c>
      <c r="AT18" s="7">
        <f t="shared" si="20"/>
        <v>282.81775196367744</v>
      </c>
      <c r="AU18" s="22">
        <f t="shared" si="34"/>
        <v>12359.135760812705</v>
      </c>
      <c r="AW18" s="7">
        <f t="shared" si="35"/>
        <v>204.75</v>
      </c>
      <c r="AY18" s="22">
        <f t="shared" si="36"/>
        <v>29321.090482989872</v>
      </c>
      <c r="BA18" s="22">
        <f t="shared" si="2"/>
        <v>14302.617282683095</v>
      </c>
      <c r="BC18" s="6">
        <f t="shared" si="21"/>
        <v>29.468542940740665</v>
      </c>
      <c r="BE18" s="7">
        <f t="shared" si="39"/>
        <v>177.81854213055266</v>
      </c>
      <c r="BF18" s="7">
        <f t="shared" si="37"/>
        <v>200.51778614224733</v>
      </c>
      <c r="BG18" s="7">
        <f t="shared" si="37"/>
        <v>177.11461716725302</v>
      </c>
      <c r="BH18" s="7">
        <v>125.10275432855042</v>
      </c>
    </row>
    <row r="19" spans="1:60" x14ac:dyDescent="0.2">
      <c r="A19" s="8">
        <f t="shared" si="3"/>
        <v>2033</v>
      </c>
      <c r="B19" s="22">
        <f t="shared" si="40"/>
        <v>685.86555113999987</v>
      </c>
      <c r="C19" s="22">
        <f t="shared" si="4"/>
        <v>1000.4370314260999</v>
      </c>
      <c r="E19" s="15">
        <f t="shared" si="22"/>
        <v>39.621692883237976</v>
      </c>
      <c r="F19" s="16">
        <v>45</v>
      </c>
      <c r="H19" s="22">
        <f t="shared" si="0"/>
        <v>27175.154226461826</v>
      </c>
      <c r="I19" s="22">
        <f t="shared" si="0"/>
        <v>45019.666414174499</v>
      </c>
      <c r="K19" s="54">
        <f t="shared" si="23"/>
        <v>25</v>
      </c>
      <c r="L19" s="7">
        <f t="shared" si="5"/>
        <v>56.920796486719084</v>
      </c>
      <c r="M19" s="7">
        <f t="shared" si="6"/>
        <v>1423.0199121679771</v>
      </c>
      <c r="O19" s="15">
        <f t="shared" si="24"/>
        <v>6</v>
      </c>
      <c r="P19" s="7">
        <f t="shared" si="7"/>
        <v>12.763071535821823</v>
      </c>
      <c r="Q19" s="7">
        <f t="shared" si="8"/>
        <v>76.578429214930935</v>
      </c>
      <c r="S19" s="15">
        <f t="shared" si="25"/>
        <v>49</v>
      </c>
      <c r="T19" s="7">
        <f t="shared" si="9"/>
        <v>18.431376835554456</v>
      </c>
      <c r="U19" s="7">
        <f t="shared" si="10"/>
        <v>903.13746494216832</v>
      </c>
      <c r="W19" s="14">
        <f t="shared" si="26"/>
        <v>6</v>
      </c>
      <c r="X19" s="7">
        <f t="shared" si="11"/>
        <v>75.589916811666257</v>
      </c>
      <c r="Y19" s="22">
        <f t="shared" si="12"/>
        <v>453.53950086999754</v>
      </c>
      <c r="AA19" s="7">
        <f t="shared" si="13"/>
        <v>36.483490003314422</v>
      </c>
      <c r="AB19" s="7">
        <f t="shared" si="1"/>
        <v>1641.7570501491491</v>
      </c>
      <c r="AD19" s="7">
        <f t="shared" si="27"/>
        <v>60</v>
      </c>
      <c r="AE19" s="7">
        <f t="shared" si="14"/>
        <v>51.076886004640158</v>
      </c>
      <c r="AF19" s="22">
        <f t="shared" si="15"/>
        <v>3064.6131602784094</v>
      </c>
      <c r="AH19" s="15">
        <f t="shared" si="28"/>
        <v>11</v>
      </c>
      <c r="AI19" s="7">
        <f t="shared" si="16"/>
        <v>161.49912078735613</v>
      </c>
      <c r="AJ19" s="7">
        <f t="shared" si="17"/>
        <v>428.7587277540427</v>
      </c>
      <c r="AK19" s="7">
        <f t="shared" si="29"/>
        <v>2205.2490564149603</v>
      </c>
      <c r="AM19" s="7">
        <f t="shared" si="18"/>
        <v>113.8284888103409</v>
      </c>
      <c r="AN19" s="22">
        <f t="shared" si="30"/>
        <v>5122.2819964653409</v>
      </c>
      <c r="AP19" s="7">
        <f t="shared" si="31"/>
        <v>5</v>
      </c>
      <c r="AQ19" s="7">
        <f t="shared" si="19"/>
        <v>460.66973157385013</v>
      </c>
      <c r="AR19" s="22">
        <f t="shared" si="32"/>
        <v>2303.3486578692505</v>
      </c>
      <c r="AS19" s="7">
        <f t="shared" si="33"/>
        <v>43.7</v>
      </c>
      <c r="AT19" s="7">
        <f t="shared" si="20"/>
        <v>291.86792002651509</v>
      </c>
      <c r="AU19" s="22">
        <f t="shared" si="34"/>
        <v>12754.62810515871</v>
      </c>
      <c r="AW19" s="7">
        <f t="shared" si="35"/>
        <v>204.75</v>
      </c>
      <c r="AY19" s="22">
        <f t="shared" si="36"/>
        <v>30152.903333530896</v>
      </c>
      <c r="BA19" s="22">
        <f t="shared" si="2"/>
        <v>14866.763080643603</v>
      </c>
      <c r="BC19" s="6">
        <f t="shared" si="21"/>
        <v>29.364896820236581</v>
      </c>
      <c r="BE19" s="7">
        <f t="shared" si="39"/>
        <v>183.50873547873033</v>
      </c>
      <c r="BF19" s="7">
        <f t="shared" si="37"/>
        <v>206.93435529879923</v>
      </c>
      <c r="BG19" s="7">
        <f t="shared" si="37"/>
        <v>182.78228491660511</v>
      </c>
      <c r="BH19" s="7">
        <v>124.74265216326211</v>
      </c>
    </row>
    <row r="20" spans="1:60" x14ac:dyDescent="0.2">
      <c r="A20" s="8">
        <f t="shared" si="3"/>
        <v>2034</v>
      </c>
      <c r="B20" s="22">
        <f t="shared" si="40"/>
        <v>685.86555113999987</v>
      </c>
      <c r="C20" s="22">
        <f t="shared" si="4"/>
        <v>1032.4510164317351</v>
      </c>
      <c r="E20" s="15">
        <f t="shared" si="22"/>
        <v>39.203640990867164</v>
      </c>
      <c r="F20" s="16">
        <v>45</v>
      </c>
      <c r="H20" s="22">
        <f t="shared" si="0"/>
        <v>26888.426834895799</v>
      </c>
      <c r="I20" s="22">
        <f t="shared" si="0"/>
        <v>46460.295739428075</v>
      </c>
      <c r="K20" s="54">
        <f t="shared" si="23"/>
        <v>25</v>
      </c>
      <c r="L20" s="7">
        <f t="shared" si="5"/>
        <v>56.838617625306206</v>
      </c>
      <c r="M20" s="7">
        <f t="shared" si="6"/>
        <v>1420.9654406326551</v>
      </c>
      <c r="O20" s="15">
        <f t="shared" si="24"/>
        <v>6</v>
      </c>
      <c r="P20" s="7">
        <f t="shared" si="7"/>
        <v>12.744644972040522</v>
      </c>
      <c r="Q20" s="7">
        <f t="shared" si="8"/>
        <v>76.467869832243139</v>
      </c>
      <c r="S20" s="15">
        <f t="shared" si="25"/>
        <v>49</v>
      </c>
      <c r="T20" s="7">
        <f t="shared" si="9"/>
        <v>18.404766709623228</v>
      </c>
      <c r="U20" s="7">
        <f t="shared" si="10"/>
        <v>901.83356877153813</v>
      </c>
      <c r="W20" s="14">
        <f t="shared" si="26"/>
        <v>6</v>
      </c>
      <c r="X20" s="7">
        <f t="shared" si="11"/>
        <v>75.480784584408568</v>
      </c>
      <c r="Y20" s="22">
        <f t="shared" si="12"/>
        <v>452.88470750645138</v>
      </c>
      <c r="AA20" s="7">
        <f t="shared" si="13"/>
        <v>37.650961683420483</v>
      </c>
      <c r="AB20" s="7">
        <f t="shared" si="1"/>
        <v>1694.2932757539218</v>
      </c>
      <c r="AD20" s="7">
        <f t="shared" si="27"/>
        <v>60</v>
      </c>
      <c r="AE20" s="7">
        <f t="shared" si="14"/>
        <v>52.711346356788646</v>
      </c>
      <c r="AF20" s="22">
        <f t="shared" si="15"/>
        <v>3162.6807814073186</v>
      </c>
      <c r="AH20" s="15">
        <f t="shared" si="28"/>
        <v>11</v>
      </c>
      <c r="AI20" s="7">
        <f t="shared" si="16"/>
        <v>166.66709265255153</v>
      </c>
      <c r="AJ20" s="7">
        <f t="shared" si="17"/>
        <v>442.47900704217204</v>
      </c>
      <c r="AK20" s="7">
        <f t="shared" si="29"/>
        <v>2275.8170262202389</v>
      </c>
      <c r="AM20" s="7">
        <f t="shared" si="18"/>
        <v>117.47100045227181</v>
      </c>
      <c r="AN20" s="22">
        <f t="shared" si="30"/>
        <v>5286.195020352231</v>
      </c>
      <c r="AP20" s="7">
        <f t="shared" si="31"/>
        <v>5</v>
      </c>
      <c r="AQ20" s="7">
        <f t="shared" si="19"/>
        <v>475.41116298421338</v>
      </c>
      <c r="AR20" s="22">
        <f t="shared" si="32"/>
        <v>2377.0558149210669</v>
      </c>
      <c r="AS20" s="7">
        <f t="shared" si="33"/>
        <v>43.7</v>
      </c>
      <c r="AT20" s="7">
        <f t="shared" si="20"/>
        <v>301.20769346736358</v>
      </c>
      <c r="AU20" s="22">
        <f t="shared" si="34"/>
        <v>13162.776204523789</v>
      </c>
      <c r="AW20" s="7">
        <f t="shared" si="35"/>
        <v>204.75</v>
      </c>
      <c r="AY20" s="22">
        <f t="shared" si="36"/>
        <v>31015.719709921454</v>
      </c>
      <c r="BA20" s="22">
        <f t="shared" si="2"/>
        <v>15444.576029506621</v>
      </c>
      <c r="BC20" s="6">
        <f t="shared" si="21"/>
        <v>29.268872971196288</v>
      </c>
      <c r="BE20" s="7">
        <f t="shared" si="39"/>
        <v>189.38101501404969</v>
      </c>
      <c r="BF20" s="7">
        <f t="shared" si="37"/>
        <v>213.55625466836082</v>
      </c>
      <c r="BG20" s="7">
        <f t="shared" si="37"/>
        <v>188.63131803393648</v>
      </c>
      <c r="BH20" s="7">
        <v>124.56255613936351</v>
      </c>
    </row>
    <row r="21" spans="1:60" x14ac:dyDescent="0.2">
      <c r="A21" s="8">
        <f t="shared" si="3"/>
        <v>2035</v>
      </c>
      <c r="B21" s="22">
        <f>+B20</f>
        <v>685.86555113999987</v>
      </c>
      <c r="C21" s="22">
        <f t="shared" si="4"/>
        <v>1065.4894489575506</v>
      </c>
      <c r="E21" s="15">
        <f>E7*0.862</f>
        <v>38.79</v>
      </c>
      <c r="F21" s="16">
        <v>45</v>
      </c>
      <c r="H21" s="22">
        <f t="shared" si="0"/>
        <v>26604.724728720594</v>
      </c>
      <c r="I21" s="22">
        <f t="shared" si="0"/>
        <v>47947.025203089775</v>
      </c>
      <c r="K21" s="54">
        <f t="shared" si="23"/>
        <v>25</v>
      </c>
      <c r="L21" s="7">
        <f t="shared" si="5"/>
        <v>56.670644620203788</v>
      </c>
      <c r="M21" s="7">
        <f t="shared" si="6"/>
        <v>1416.7661155050946</v>
      </c>
      <c r="O21" s="15">
        <f t="shared" si="24"/>
        <v>6</v>
      </c>
      <c r="P21" s="7">
        <f t="shared" si="7"/>
        <v>12.706981207431934</v>
      </c>
      <c r="Q21" s="7">
        <f t="shared" si="8"/>
        <v>76.241887244591595</v>
      </c>
      <c r="S21" s="15">
        <f t="shared" si="25"/>
        <v>49</v>
      </c>
      <c r="T21" s="7">
        <f t="shared" si="9"/>
        <v>18.350375802497297</v>
      </c>
      <c r="U21" s="7">
        <f t="shared" si="10"/>
        <v>899.16841432236754</v>
      </c>
      <c r="W21" s="14">
        <f t="shared" si="26"/>
        <v>6</v>
      </c>
      <c r="X21" s="7">
        <f t="shared" si="11"/>
        <v>75.257719092251222</v>
      </c>
      <c r="Y21" s="22">
        <f t="shared" si="12"/>
        <v>451.54631455350733</v>
      </c>
      <c r="AA21" s="7">
        <f t="shared" si="13"/>
        <v>38.855792457289937</v>
      </c>
      <c r="AB21" s="7">
        <f t="shared" si="1"/>
        <v>1748.5106605780472</v>
      </c>
      <c r="AD21" s="7">
        <f t="shared" si="27"/>
        <v>60</v>
      </c>
      <c r="AE21" s="7">
        <f t="shared" si="14"/>
        <v>54.398109440205886</v>
      </c>
      <c r="AF21" s="22">
        <f t="shared" si="15"/>
        <v>3263.8865664123532</v>
      </c>
      <c r="AH21" s="15">
        <f t="shared" si="28"/>
        <v>11</v>
      </c>
      <c r="AI21" s="7">
        <f t="shared" si="16"/>
        <v>172.00043961743316</v>
      </c>
      <c r="AJ21" s="7">
        <f t="shared" si="17"/>
        <v>456.6383352675216</v>
      </c>
      <c r="AK21" s="7">
        <f t="shared" si="29"/>
        <v>2348.643171059286</v>
      </c>
      <c r="AM21" s="7">
        <f t="shared" si="18"/>
        <v>121.2300724667445</v>
      </c>
      <c r="AN21" s="22">
        <f t="shared" si="30"/>
        <v>5455.3532610035027</v>
      </c>
      <c r="AP21" s="7">
        <f t="shared" si="31"/>
        <v>5</v>
      </c>
      <c r="AQ21" s="7">
        <f t="shared" si="19"/>
        <v>490.62432019970822</v>
      </c>
      <c r="AR21" s="22">
        <f t="shared" si="32"/>
        <v>2453.121600998541</v>
      </c>
      <c r="AS21" s="7">
        <f t="shared" si="33"/>
        <v>43.7</v>
      </c>
      <c r="AT21" s="7">
        <f t="shared" si="20"/>
        <v>310.84633965831921</v>
      </c>
      <c r="AU21" s="22">
        <f t="shared" si="34"/>
        <v>13583.985043068551</v>
      </c>
      <c r="AW21" s="7">
        <f t="shared" si="35"/>
        <v>204.75</v>
      </c>
      <c r="AY21" s="22">
        <f t="shared" si="36"/>
        <v>31901.973034745843</v>
      </c>
      <c r="BA21" s="22">
        <f t="shared" si="2"/>
        <v>16045.052168343933</v>
      </c>
      <c r="BC21" s="6">
        <f t="shared" si="21"/>
        <v>29.171761693710057</v>
      </c>
      <c r="BE21" s="7">
        <f t="shared" si="39"/>
        <v>195.44120749449928</v>
      </c>
      <c r="BF21" s="7">
        <f t="shared" si="37"/>
        <v>220.39005481774836</v>
      </c>
      <c r="BG21" s="7">
        <f t="shared" si="37"/>
        <v>194.66752021102243</v>
      </c>
      <c r="BH21" s="7">
        <v>124.19444115430356</v>
      </c>
    </row>
    <row r="22" spans="1:60" x14ac:dyDescent="0.2">
      <c r="A22" s="8">
        <f t="shared" si="3"/>
        <v>2036</v>
      </c>
      <c r="B22" s="22">
        <f t="shared" si="40"/>
        <v>685.86555113999987</v>
      </c>
      <c r="C22" s="22">
        <f t="shared" si="4"/>
        <v>1099.5851113241924</v>
      </c>
      <c r="E22" s="15">
        <f>E21*((E$41/E$21)^(1/($A$41-$A$21)))</f>
        <v>38.650323628572259</v>
      </c>
      <c r="F22" s="16">
        <v>45</v>
      </c>
      <c r="H22" s="22">
        <f t="shared" si="0"/>
        <v>26508.925517250071</v>
      </c>
      <c r="I22" s="22">
        <f t="shared" si="0"/>
        <v>49481.330009588659</v>
      </c>
      <c r="K22" s="54">
        <f t="shared" si="23"/>
        <v>25</v>
      </c>
      <c r="L22" s="7">
        <f t="shared" si="5"/>
        <v>55.636232476740751</v>
      </c>
      <c r="M22" s="7">
        <f t="shared" si="6"/>
        <v>1390.9058119185188</v>
      </c>
      <c r="O22" s="15">
        <f t="shared" si="24"/>
        <v>6</v>
      </c>
      <c r="P22" s="7">
        <f t="shared" si="7"/>
        <v>12.475040036552114</v>
      </c>
      <c r="Q22" s="7">
        <f t="shared" si="8"/>
        <v>74.850240219312681</v>
      </c>
      <c r="S22" s="15">
        <f t="shared" si="25"/>
        <v>49</v>
      </c>
      <c r="T22" s="7">
        <f t="shared" si="9"/>
        <v>18.015425464550262</v>
      </c>
      <c r="U22" s="7">
        <f t="shared" si="10"/>
        <v>882.75584776296284</v>
      </c>
      <c r="W22" s="14">
        <f t="shared" si="26"/>
        <v>6</v>
      </c>
      <c r="X22" s="7">
        <f t="shared" si="11"/>
        <v>73.884036138050249</v>
      </c>
      <c r="Y22" s="22">
        <f t="shared" si="12"/>
        <v>443.30421682830149</v>
      </c>
      <c r="AA22" s="7">
        <f t="shared" si="13"/>
        <v>40.099177815923213</v>
      </c>
      <c r="AB22" s="7">
        <f t="shared" si="1"/>
        <v>1804.4630017165446</v>
      </c>
      <c r="AD22" s="7">
        <f t="shared" si="27"/>
        <v>60</v>
      </c>
      <c r="AE22" s="7">
        <f t="shared" si="14"/>
        <v>56.138848942292476</v>
      </c>
      <c r="AF22" s="22">
        <f t="shared" si="15"/>
        <v>3368.3309365375485</v>
      </c>
      <c r="AH22" s="15">
        <f t="shared" si="28"/>
        <v>11</v>
      </c>
      <c r="AI22" s="7">
        <f t="shared" si="16"/>
        <v>177.50445368519101</v>
      </c>
      <c r="AJ22" s="7">
        <f t="shared" si="17"/>
        <v>471.2507619960823</v>
      </c>
      <c r="AK22" s="7">
        <f t="shared" si="29"/>
        <v>2423.7997525331834</v>
      </c>
      <c r="AM22" s="7">
        <f t="shared" si="18"/>
        <v>125.10943478568034</v>
      </c>
      <c r="AN22" s="22">
        <f t="shared" si="30"/>
        <v>5629.9245653556154</v>
      </c>
      <c r="AP22" s="7">
        <f t="shared" si="31"/>
        <v>5</v>
      </c>
      <c r="AQ22" s="7">
        <f t="shared" si="19"/>
        <v>506.32429844609891</v>
      </c>
      <c r="AR22" s="22">
        <f t="shared" si="32"/>
        <v>2531.6214922304944</v>
      </c>
      <c r="AS22" s="7">
        <f t="shared" si="33"/>
        <v>43.7</v>
      </c>
      <c r="AT22" s="7">
        <f t="shared" si="20"/>
        <v>320.79342252738542</v>
      </c>
      <c r="AU22" s="22">
        <f t="shared" si="34"/>
        <v>14018.672564446744</v>
      </c>
      <c r="AW22" s="7">
        <f t="shared" si="35"/>
        <v>204.75</v>
      </c>
      <c r="AY22" s="22">
        <f t="shared" si="36"/>
        <v>32773.378429549222</v>
      </c>
      <c r="BA22" s="22">
        <f t="shared" si="2"/>
        <v>16707.951580039437</v>
      </c>
      <c r="BC22" s="6">
        <f t="shared" si="21"/>
        <v>29.036879542103492</v>
      </c>
      <c r="BE22" s="7">
        <f t="shared" si="39"/>
        <v>201.69532613432327</v>
      </c>
      <c r="BF22" s="7">
        <f t="shared" si="37"/>
        <v>227.44253657191632</v>
      </c>
      <c r="BG22" s="7">
        <f t="shared" si="37"/>
        <v>200.89688085777516</v>
      </c>
      <c r="BH22" s="7">
        <v>121.92751373638573</v>
      </c>
    </row>
    <row r="23" spans="1:60" x14ac:dyDescent="0.2">
      <c r="A23" s="8">
        <f t="shared" si="3"/>
        <v>2037</v>
      </c>
      <c r="B23" s="22">
        <f t="shared" si="40"/>
        <v>685.86555113999987</v>
      </c>
      <c r="C23" s="22">
        <f t="shared" si="4"/>
        <v>1134.7718348865665</v>
      </c>
      <c r="E23" s="15">
        <f t="shared" ref="E23:E38" si="41">E22*((E$41/E$21)^(1/($A$41-$A$21)))</f>
        <v>38.511150208645816</v>
      </c>
      <c r="F23" s="16">
        <v>45</v>
      </c>
      <c r="H23" s="22">
        <f t="shared" si="0"/>
        <v>26413.471262888183</v>
      </c>
      <c r="I23" s="22">
        <f t="shared" si="0"/>
        <v>51064.732569895488</v>
      </c>
      <c r="K23" s="54">
        <f t="shared" si="23"/>
        <v>25</v>
      </c>
      <c r="L23" s="7">
        <f t="shared" si="5"/>
        <v>54.727423189470649</v>
      </c>
      <c r="M23" s="7">
        <f t="shared" si="6"/>
        <v>1368.1855797367662</v>
      </c>
      <c r="O23" s="15">
        <f t="shared" si="24"/>
        <v>6</v>
      </c>
      <c r="P23" s="7">
        <f t="shared" si="7"/>
        <v>12.271262179217425</v>
      </c>
      <c r="Q23" s="7">
        <f t="shared" si="8"/>
        <v>73.627573075304554</v>
      </c>
      <c r="S23" s="15">
        <f t="shared" si="25"/>
        <v>49</v>
      </c>
      <c r="T23" s="7">
        <f t="shared" si="9"/>
        <v>17.721146264693402</v>
      </c>
      <c r="U23" s="7">
        <f t="shared" si="10"/>
        <v>868.33616696997672</v>
      </c>
      <c r="W23" s="14">
        <f t="shared" si="26"/>
        <v>6</v>
      </c>
      <c r="X23" s="7">
        <f t="shared" si="11"/>
        <v>72.677151788874909</v>
      </c>
      <c r="Y23" s="22">
        <f t="shared" si="12"/>
        <v>436.06291073324945</v>
      </c>
      <c r="AA23" s="7">
        <f t="shared" si="13"/>
        <v>41.382351506032755</v>
      </c>
      <c r="AB23" s="7">
        <f t="shared" si="1"/>
        <v>1862.2058177714739</v>
      </c>
      <c r="AD23" s="7">
        <f t="shared" si="27"/>
        <v>60</v>
      </c>
      <c r="AE23" s="7">
        <f t="shared" si="14"/>
        <v>57.935292108445836</v>
      </c>
      <c r="AF23" s="22">
        <f t="shared" si="15"/>
        <v>3476.11752650675</v>
      </c>
      <c r="AH23" s="15">
        <f t="shared" si="28"/>
        <v>11</v>
      </c>
      <c r="AI23" s="7">
        <f t="shared" si="16"/>
        <v>183.18459620311711</v>
      </c>
      <c r="AJ23" s="7">
        <f t="shared" si="17"/>
        <v>486.33078637995692</v>
      </c>
      <c r="AK23" s="7">
        <f t="shared" si="29"/>
        <v>2501.3613446142454</v>
      </c>
      <c r="AM23" s="7">
        <f t="shared" si="18"/>
        <v>129.11293669882212</v>
      </c>
      <c r="AN23" s="22">
        <f t="shared" si="30"/>
        <v>5810.0821514469953</v>
      </c>
      <c r="AP23" s="7">
        <f t="shared" si="31"/>
        <v>5</v>
      </c>
      <c r="AQ23" s="7">
        <f t="shared" si="19"/>
        <v>522.52667599637414</v>
      </c>
      <c r="AR23" s="22">
        <f t="shared" si="32"/>
        <v>2612.6333799818708</v>
      </c>
      <c r="AS23" s="7">
        <f t="shared" si="33"/>
        <v>43.7</v>
      </c>
      <c r="AT23" s="7">
        <f t="shared" si="20"/>
        <v>331.05881204826176</v>
      </c>
      <c r="AU23" s="22">
        <f t="shared" si="34"/>
        <v>14467.270086509039</v>
      </c>
      <c r="AW23" s="7">
        <f t="shared" si="35"/>
        <v>204.75</v>
      </c>
      <c r="AY23" s="22">
        <f t="shared" si="36"/>
        <v>33680.632537345671</v>
      </c>
      <c r="BA23" s="22">
        <f t="shared" si="2"/>
        <v>17384.100032549817</v>
      </c>
      <c r="BC23" s="6">
        <f t="shared" si="21"/>
        <v>28.913463317601394</v>
      </c>
      <c r="BE23" s="7">
        <f t="shared" si="39"/>
        <v>208.1495765706216</v>
      </c>
      <c r="BF23" s="7">
        <f t="shared" si="37"/>
        <v>234.72069774221765</v>
      </c>
      <c r="BG23" s="7">
        <f t="shared" si="37"/>
        <v>207.32558104522397</v>
      </c>
      <c r="BH23" s="7">
        <v>119.93584658128668</v>
      </c>
    </row>
    <row r="24" spans="1:60" x14ac:dyDescent="0.2">
      <c r="A24" s="8">
        <f t="shared" si="3"/>
        <v>2038</v>
      </c>
      <c r="B24" s="22">
        <f t="shared" si="40"/>
        <v>685.86555113999987</v>
      </c>
      <c r="C24" s="22">
        <f t="shared" si="4"/>
        <v>1171.0845336029365</v>
      </c>
      <c r="E24" s="15">
        <f t="shared" si="41"/>
        <v>38.372477929175531</v>
      </c>
      <c r="F24" s="16">
        <v>45</v>
      </c>
      <c r="H24" s="22">
        <f t="shared" si="0"/>
        <v>26318.360723501457</v>
      </c>
      <c r="I24" s="22">
        <f t="shared" si="0"/>
        <v>52698.804012132146</v>
      </c>
      <c r="K24" s="54">
        <f t="shared" si="23"/>
        <v>25</v>
      </c>
      <c r="L24" s="7">
        <f t="shared" si="5"/>
        <v>54.108414468629732</v>
      </c>
      <c r="M24" s="7">
        <f t="shared" si="6"/>
        <v>1352.7103617157434</v>
      </c>
      <c r="O24" s="15">
        <f t="shared" si="24"/>
        <v>6</v>
      </c>
      <c r="P24" s="7">
        <f t="shared" si="7"/>
        <v>12.132464884150876</v>
      </c>
      <c r="Q24" s="7">
        <f t="shared" si="8"/>
        <v>72.794789304905251</v>
      </c>
      <c r="S24" s="15">
        <f t="shared" si="25"/>
        <v>49</v>
      </c>
      <c r="T24" s="7">
        <f t="shared" si="9"/>
        <v>17.520706641523766</v>
      </c>
      <c r="U24" s="7">
        <f t="shared" si="10"/>
        <v>858.51462543466459</v>
      </c>
      <c r="W24" s="14">
        <f t="shared" si="26"/>
        <v>6</v>
      </c>
      <c r="X24" s="7">
        <f t="shared" si="11"/>
        <v>71.855118005054294</v>
      </c>
      <c r="Y24" s="22">
        <f t="shared" si="12"/>
        <v>431.13070803032576</v>
      </c>
      <c r="AA24" s="7">
        <f t="shared" si="13"/>
        <v>42.706586754225803</v>
      </c>
      <c r="AB24" s="7">
        <f t="shared" si="1"/>
        <v>1921.7964039401611</v>
      </c>
      <c r="AD24" s="7">
        <f t="shared" si="27"/>
        <v>60</v>
      </c>
      <c r="AE24" s="7">
        <f t="shared" si="14"/>
        <v>59.789221455916106</v>
      </c>
      <c r="AF24" s="22">
        <f t="shared" si="15"/>
        <v>3587.3532873549666</v>
      </c>
      <c r="AH24" s="15">
        <f t="shared" si="28"/>
        <v>11</v>
      </c>
      <c r="AI24" s="7">
        <f t="shared" si="16"/>
        <v>189.04650328161685</v>
      </c>
      <c r="AJ24" s="7">
        <f t="shared" si="17"/>
        <v>501.8933715441155</v>
      </c>
      <c r="AK24" s="7">
        <f t="shared" si="29"/>
        <v>2581.4049076419005</v>
      </c>
      <c r="AM24" s="7">
        <f t="shared" si="18"/>
        <v>133.24455067318445</v>
      </c>
      <c r="AN24" s="22">
        <f t="shared" si="30"/>
        <v>5996.0047802933004</v>
      </c>
      <c r="AP24" s="7">
        <f t="shared" si="31"/>
        <v>5</v>
      </c>
      <c r="AQ24" s="7">
        <f t="shared" si="19"/>
        <v>539.24752962825812</v>
      </c>
      <c r="AR24" s="22">
        <f t="shared" si="32"/>
        <v>2696.2376481412907</v>
      </c>
      <c r="AS24" s="7">
        <f t="shared" si="33"/>
        <v>43.7</v>
      </c>
      <c r="AT24" s="7">
        <f t="shared" si="20"/>
        <v>341.65269403380614</v>
      </c>
      <c r="AU24" s="22">
        <f t="shared" si="34"/>
        <v>14930.22272927733</v>
      </c>
      <c r="AW24" s="7">
        <f t="shared" si="35"/>
        <v>204.75</v>
      </c>
      <c r="AY24" s="22">
        <f t="shared" si="36"/>
        <v>34632.92024113459</v>
      </c>
      <c r="BA24" s="22">
        <f t="shared" si="2"/>
        <v>18065.883770997556</v>
      </c>
      <c r="BC24" s="6">
        <f t="shared" si="21"/>
        <v>28.808054896833937</v>
      </c>
      <c r="BE24" s="7">
        <f t="shared" si="39"/>
        <v>214.81036302088148</v>
      </c>
      <c r="BF24" s="7">
        <f t="shared" si="37"/>
        <v>242.23176006996863</v>
      </c>
      <c r="BG24" s="7">
        <f t="shared" si="37"/>
        <v>213.95999963867115</v>
      </c>
      <c r="BH24" s="7">
        <v>118.57928106717092</v>
      </c>
    </row>
    <row r="25" spans="1:60" x14ac:dyDescent="0.2">
      <c r="A25" s="8">
        <f t="shared" si="3"/>
        <v>2039</v>
      </c>
      <c r="B25" s="22">
        <f t="shared" si="40"/>
        <v>685.86555113999987</v>
      </c>
      <c r="C25" s="22">
        <f t="shared" si="4"/>
        <v>1208.5592386782305</v>
      </c>
      <c r="E25" s="15">
        <f t="shared" si="41"/>
        <v>38.23430498563755</v>
      </c>
      <c r="F25" s="16">
        <v>45</v>
      </c>
      <c r="H25" s="22">
        <f t="shared" si="0"/>
        <v>26223.592661429142</v>
      </c>
      <c r="I25" s="22">
        <f t="shared" si="0"/>
        <v>54385.165740520373</v>
      </c>
      <c r="K25" s="54">
        <f t="shared" si="23"/>
        <v>25</v>
      </c>
      <c r="L25" s="7">
        <f t="shared" si="5"/>
        <v>53.677336670030385</v>
      </c>
      <c r="M25" s="7">
        <f t="shared" si="6"/>
        <v>1341.9334167507595</v>
      </c>
      <c r="O25" s="15">
        <f t="shared" si="24"/>
        <v>6</v>
      </c>
      <c r="P25" s="7">
        <f t="shared" si="7"/>
        <v>12.035806419747416</v>
      </c>
      <c r="Q25" s="7">
        <f t="shared" si="8"/>
        <v>72.214838518484498</v>
      </c>
      <c r="S25" s="15">
        <f t="shared" si="25"/>
        <v>49</v>
      </c>
      <c r="T25" s="7">
        <f t="shared" si="9"/>
        <v>17.381120447341125</v>
      </c>
      <c r="U25" s="7">
        <f t="shared" si="10"/>
        <v>851.67490191971513</v>
      </c>
      <c r="W25" s="14">
        <f t="shared" si="26"/>
        <v>6</v>
      </c>
      <c r="X25" s="7">
        <f t="shared" si="11"/>
        <v>71.282653511464787</v>
      </c>
      <c r="Y25" s="22">
        <f t="shared" si="12"/>
        <v>427.69592106878872</v>
      </c>
      <c r="AA25" s="7">
        <f t="shared" si="13"/>
        <v>44.073197530361028</v>
      </c>
      <c r="AB25" s="7">
        <f t="shared" si="1"/>
        <v>1983.2938888662463</v>
      </c>
      <c r="AD25" s="7">
        <f t="shared" si="27"/>
        <v>60</v>
      </c>
      <c r="AE25" s="7">
        <f t="shared" si="14"/>
        <v>61.702476542505423</v>
      </c>
      <c r="AF25" s="22">
        <f t="shared" si="15"/>
        <v>3702.1485925503252</v>
      </c>
      <c r="AH25" s="15">
        <f t="shared" si="28"/>
        <v>11</v>
      </c>
      <c r="AI25" s="7">
        <f t="shared" si="16"/>
        <v>195.09599138662858</v>
      </c>
      <c r="AJ25" s="7">
        <f t="shared" si="17"/>
        <v>517.95395943352719</v>
      </c>
      <c r="AK25" s="7">
        <f t="shared" si="29"/>
        <v>2664.0098646864417</v>
      </c>
      <c r="AM25" s="7">
        <f t="shared" si="18"/>
        <v>137.50837629472636</v>
      </c>
      <c r="AN25" s="22">
        <f t="shared" si="30"/>
        <v>6187.8769332626862</v>
      </c>
      <c r="AP25" s="7">
        <f t="shared" si="31"/>
        <v>5</v>
      </c>
      <c r="AQ25" s="7">
        <f t="shared" si="19"/>
        <v>556.50345057636241</v>
      </c>
      <c r="AR25" s="22">
        <f t="shared" si="32"/>
        <v>2782.5172528818121</v>
      </c>
      <c r="AS25" s="7">
        <f t="shared" si="33"/>
        <v>43.7</v>
      </c>
      <c r="AT25" s="7">
        <f t="shared" si="20"/>
        <v>352.585580242888</v>
      </c>
      <c r="AU25" s="22">
        <f t="shared" si="34"/>
        <v>15407.989856614207</v>
      </c>
      <c r="AW25" s="7">
        <f t="shared" si="35"/>
        <v>204.75</v>
      </c>
      <c r="AY25" s="22">
        <f t="shared" si="36"/>
        <v>35626.105467119465</v>
      </c>
      <c r="BA25" s="22">
        <f t="shared" si="2"/>
        <v>18759.060273400908</v>
      </c>
      <c r="BC25" s="6">
        <f t="shared" si="21"/>
        <v>28.71486681393991</v>
      </c>
      <c r="BE25" s="7">
        <f t="shared" si="39"/>
        <v>221.6842946375497</v>
      </c>
      <c r="BF25" s="7">
        <f t="shared" si="39"/>
        <v>249.98317639220764</v>
      </c>
      <c r="BG25" s="7">
        <f t="shared" si="39"/>
        <v>220.80671962710863</v>
      </c>
      <c r="BH25" s="7">
        <v>117.63456856831245</v>
      </c>
    </row>
    <row r="26" spans="1:60" x14ac:dyDescent="0.2">
      <c r="A26" s="8">
        <f t="shared" si="3"/>
        <v>2040</v>
      </c>
      <c r="B26" s="22">
        <f t="shared" si="40"/>
        <v>685.86555113999987</v>
      </c>
      <c r="C26" s="22">
        <f t="shared" si="4"/>
        <v>1247.233134315934</v>
      </c>
      <c r="E26" s="15">
        <f t="shared" si="41"/>
        <v>38.096629580005803</v>
      </c>
      <c r="F26" s="16">
        <v>45</v>
      </c>
      <c r="H26" s="22">
        <f t="shared" si="0"/>
        <v>26129.165843467101</v>
      </c>
      <c r="I26" s="22">
        <f t="shared" si="0"/>
        <v>56125.491044217029</v>
      </c>
      <c r="K26" s="54">
        <f t="shared" si="23"/>
        <v>25</v>
      </c>
      <c r="L26" s="7">
        <f t="shared" si="5"/>
        <v>53.522756996730422</v>
      </c>
      <c r="M26" s="7">
        <f t="shared" si="6"/>
        <v>1338.0689249182606</v>
      </c>
      <c r="O26" s="15">
        <f t="shared" si="24"/>
        <v>6</v>
      </c>
      <c r="P26" s="7">
        <f t="shared" si="7"/>
        <v>12.001145776360746</v>
      </c>
      <c r="Q26" s="7">
        <f t="shared" si="8"/>
        <v>72.006874658164477</v>
      </c>
      <c r="S26" s="15">
        <f t="shared" si="25"/>
        <v>49</v>
      </c>
      <c r="T26" s="7">
        <f t="shared" si="9"/>
        <v>17.331066400568023</v>
      </c>
      <c r="U26" s="7">
        <f t="shared" si="10"/>
        <v>849.22225362783308</v>
      </c>
      <c r="W26" s="14">
        <f t="shared" si="26"/>
        <v>6</v>
      </c>
      <c r="X26" s="7">
        <f t="shared" si="11"/>
        <v>71.077374151956079</v>
      </c>
      <c r="Y26" s="22">
        <f t="shared" si="12"/>
        <v>426.4642449117365</v>
      </c>
      <c r="AA26" s="7">
        <f t="shared" si="13"/>
        <v>45.48353985133258</v>
      </c>
      <c r="AB26" s="7">
        <f t="shared" si="1"/>
        <v>2046.7592933099661</v>
      </c>
      <c r="AD26" s="7">
        <f t="shared" si="27"/>
        <v>60</v>
      </c>
      <c r="AE26" s="7">
        <f t="shared" si="14"/>
        <v>63.676955791865595</v>
      </c>
      <c r="AF26" s="22">
        <f t="shared" si="15"/>
        <v>3820.6173475119358</v>
      </c>
      <c r="AH26" s="15">
        <f t="shared" si="28"/>
        <v>11</v>
      </c>
      <c r="AI26" s="7">
        <f t="shared" si="16"/>
        <v>201.33906311100068</v>
      </c>
      <c r="AJ26" s="7">
        <f t="shared" si="17"/>
        <v>534.52848613540004</v>
      </c>
      <c r="AK26" s="7">
        <f t="shared" si="29"/>
        <v>2749.2581803564071</v>
      </c>
      <c r="AM26" s="7">
        <f t="shared" si="18"/>
        <v>141.90864433615758</v>
      </c>
      <c r="AN26" s="22">
        <f t="shared" si="30"/>
        <v>6385.8889951270912</v>
      </c>
      <c r="AP26" s="7">
        <f t="shared" si="31"/>
        <v>5</v>
      </c>
      <c r="AQ26" s="7">
        <f t="shared" si="19"/>
        <v>574.31156099480597</v>
      </c>
      <c r="AR26" s="22">
        <f t="shared" si="32"/>
        <v>2871.5578049740298</v>
      </c>
      <c r="AS26" s="7">
        <f t="shared" si="33"/>
        <v>43.7</v>
      </c>
      <c r="AT26" s="7">
        <f t="shared" si="20"/>
        <v>363.86831881066041</v>
      </c>
      <c r="AU26" s="22">
        <f t="shared" si="34"/>
        <v>15901.045532025861</v>
      </c>
      <c r="AW26" s="7">
        <f t="shared" si="35"/>
        <v>204.75</v>
      </c>
      <c r="AY26" s="22">
        <f t="shared" si="36"/>
        <v>36665.639451421281</v>
      </c>
      <c r="BA26" s="22">
        <f t="shared" si="2"/>
        <v>19459.851592795749</v>
      </c>
      <c r="BC26" s="6">
        <f t="shared" si="21"/>
        <v>28.636689637031548</v>
      </c>
      <c r="BE26" s="7">
        <f t="shared" si="39"/>
        <v>228.77819206595129</v>
      </c>
      <c r="BF26" s="7">
        <f t="shared" si="39"/>
        <v>257.98263803675826</v>
      </c>
      <c r="BG26" s="7">
        <f t="shared" si="39"/>
        <v>227.87253465517611</v>
      </c>
      <c r="BH26" s="7">
        <v>117.29580524087962</v>
      </c>
    </row>
    <row r="27" spans="1:60" x14ac:dyDescent="0.2">
      <c r="A27" s="8">
        <f t="shared" si="3"/>
        <v>2041</v>
      </c>
      <c r="B27" s="22">
        <f t="shared" si="40"/>
        <v>685.86555113999987</v>
      </c>
      <c r="C27" s="22">
        <f t="shared" si="4"/>
        <v>1287.1445946140441</v>
      </c>
      <c r="E27" s="15">
        <f t="shared" si="41"/>
        <v>37.959449920728616</v>
      </c>
      <c r="F27" s="16">
        <v>45</v>
      </c>
      <c r="H27" s="22">
        <f t="shared" si="0"/>
        <v>26035.079040851757</v>
      </c>
      <c r="I27" s="22">
        <f t="shared" si="0"/>
        <v>57921.506757631985</v>
      </c>
      <c r="K27" s="54">
        <f t="shared" si="23"/>
        <v>25</v>
      </c>
      <c r="L27" s="7">
        <f t="shared" si="5"/>
        <v>53.56067922213127</v>
      </c>
      <c r="M27" s="7">
        <f t="shared" si="6"/>
        <v>1339.0169805532817</v>
      </c>
      <c r="O27" s="15">
        <f t="shared" si="24"/>
        <v>6</v>
      </c>
      <c r="P27" s="7">
        <f t="shared" si="7"/>
        <v>12.009648891311034</v>
      </c>
      <c r="Q27" s="7">
        <f t="shared" si="8"/>
        <v>72.057893347866212</v>
      </c>
      <c r="S27" s="15">
        <f t="shared" si="25"/>
        <v>49</v>
      </c>
      <c r="T27" s="7">
        <f t="shared" si="9"/>
        <v>17.343345898922706</v>
      </c>
      <c r="U27" s="7">
        <f t="shared" si="10"/>
        <v>849.82394904721264</v>
      </c>
      <c r="W27" s="14">
        <f t="shared" si="26"/>
        <v>6</v>
      </c>
      <c r="X27" s="7">
        <f t="shared" si="11"/>
        <v>71.127734267068533</v>
      </c>
      <c r="Y27" s="22">
        <f t="shared" si="12"/>
        <v>426.76640560241117</v>
      </c>
      <c r="AA27" s="7">
        <f t="shared" si="13"/>
        <v>46.939013126575226</v>
      </c>
      <c r="AB27" s="7">
        <f t="shared" si="1"/>
        <v>2112.2555906958851</v>
      </c>
      <c r="AD27" s="7">
        <f t="shared" si="27"/>
        <v>60</v>
      </c>
      <c r="AE27" s="7">
        <f t="shared" si="14"/>
        <v>65.714618377205298</v>
      </c>
      <c r="AF27" s="22">
        <f t="shared" si="15"/>
        <v>3942.8771026323179</v>
      </c>
      <c r="AH27" s="15">
        <f t="shared" si="28"/>
        <v>11</v>
      </c>
      <c r="AI27" s="7">
        <f t="shared" si="16"/>
        <v>207.78191313055271</v>
      </c>
      <c r="AJ27" s="7">
        <f t="shared" si="17"/>
        <v>551.63339769173285</v>
      </c>
      <c r="AK27" s="7">
        <f t="shared" si="29"/>
        <v>2837.2344421278131</v>
      </c>
      <c r="AM27" s="7">
        <f t="shared" si="18"/>
        <v>146.4497209549146</v>
      </c>
      <c r="AN27" s="22">
        <f t="shared" si="30"/>
        <v>6590.2374429711572</v>
      </c>
      <c r="AP27" s="7">
        <f t="shared" si="31"/>
        <v>5</v>
      </c>
      <c r="AQ27" s="7">
        <f t="shared" si="19"/>
        <v>592.68953094663971</v>
      </c>
      <c r="AR27" s="22">
        <f t="shared" si="32"/>
        <v>2963.4476547331988</v>
      </c>
      <c r="AS27" s="7">
        <f t="shared" si="33"/>
        <v>43.7</v>
      </c>
      <c r="AT27" s="7">
        <f t="shared" si="20"/>
        <v>375.51210501260152</v>
      </c>
      <c r="AU27" s="22">
        <f t="shared" si="34"/>
        <v>16409.878989050689</v>
      </c>
      <c r="AW27" s="7">
        <f t="shared" si="35"/>
        <v>204.75</v>
      </c>
      <c r="AY27" s="22">
        <f t="shared" si="36"/>
        <v>37748.346450761834</v>
      </c>
      <c r="BA27" s="22">
        <f t="shared" si="2"/>
        <v>20173.160306870152</v>
      </c>
      <c r="BC27" s="6">
        <f t="shared" si="21"/>
        <v>28.568925498279533</v>
      </c>
      <c r="BE27" s="7">
        <f t="shared" ref="BE27:BG41" si="42">+BE26+(BE26*0.032)</f>
        <v>236.09909421206174</v>
      </c>
      <c r="BF27" s="7">
        <f t="shared" si="42"/>
        <v>266.23808245393451</v>
      </c>
      <c r="BG27" s="7">
        <f t="shared" si="42"/>
        <v>235.16445576414174</v>
      </c>
      <c r="BH27" s="7">
        <v>117.37891228196852</v>
      </c>
    </row>
    <row r="28" spans="1:60" x14ac:dyDescent="0.2">
      <c r="A28" s="8">
        <f t="shared" si="3"/>
        <v>2042</v>
      </c>
      <c r="B28" s="22">
        <f t="shared" si="40"/>
        <v>685.86555113999987</v>
      </c>
      <c r="C28" s="22">
        <f t="shared" si="4"/>
        <v>1328.3332216416934</v>
      </c>
      <c r="E28" s="15">
        <f t="shared" si="41"/>
        <v>37.822764222705402</v>
      </c>
      <c r="F28" s="16">
        <v>45</v>
      </c>
      <c r="H28" s="22">
        <f t="shared" si="0"/>
        <v>25941.331029244109</v>
      </c>
      <c r="I28" s="22">
        <f t="shared" si="0"/>
        <v>59774.994973876201</v>
      </c>
      <c r="K28" s="54">
        <f t="shared" si="23"/>
        <v>25</v>
      </c>
      <c r="L28" s="7">
        <f t="shared" si="5"/>
        <v>53.834913436093487</v>
      </c>
      <c r="M28" s="7">
        <f t="shared" si="6"/>
        <v>1345.8728359023371</v>
      </c>
      <c r="O28" s="15">
        <f t="shared" si="24"/>
        <v>6</v>
      </c>
      <c r="P28" s="7">
        <f t="shared" si="7"/>
        <v>12.071139086571852</v>
      </c>
      <c r="Q28" s="7">
        <f t="shared" si="8"/>
        <v>72.426834519431111</v>
      </c>
      <c r="S28" s="15">
        <f t="shared" si="25"/>
        <v>49</v>
      </c>
      <c r="T28" s="7">
        <f t="shared" si="9"/>
        <v>17.432144975019945</v>
      </c>
      <c r="U28" s="7">
        <f t="shared" si="10"/>
        <v>854.17510377597728</v>
      </c>
      <c r="W28" s="14">
        <f t="shared" si="26"/>
        <v>6</v>
      </c>
      <c r="X28" s="7">
        <f t="shared" si="11"/>
        <v>71.491912962725976</v>
      </c>
      <c r="Y28" s="22">
        <f t="shared" si="12"/>
        <v>428.95147777635589</v>
      </c>
      <c r="AA28" s="7">
        <f t="shared" si="13"/>
        <v>48.441061546625633</v>
      </c>
      <c r="AB28" s="7">
        <f t="shared" si="1"/>
        <v>2179.8477695981537</v>
      </c>
      <c r="AD28" s="7">
        <f t="shared" si="27"/>
        <v>60</v>
      </c>
      <c r="AE28" s="7">
        <f t="shared" si="14"/>
        <v>67.817486165275866</v>
      </c>
      <c r="AF28" s="22">
        <f t="shared" si="15"/>
        <v>4069.0491699165518</v>
      </c>
      <c r="AH28" s="15">
        <f t="shared" si="28"/>
        <v>11</v>
      </c>
      <c r="AI28" s="7">
        <f t="shared" si="16"/>
        <v>214.43093435073038</v>
      </c>
      <c r="AJ28" s="7">
        <f t="shared" si="17"/>
        <v>569.28566641786824</v>
      </c>
      <c r="AK28" s="7">
        <f t="shared" si="29"/>
        <v>2928.0259442759025</v>
      </c>
      <c r="AM28" s="7">
        <f t="shared" si="18"/>
        <v>151.13611202547187</v>
      </c>
      <c r="AN28" s="22">
        <f t="shared" si="30"/>
        <v>6801.1250411462343</v>
      </c>
      <c r="AP28" s="7">
        <f t="shared" si="31"/>
        <v>5</v>
      </c>
      <c r="AQ28" s="7">
        <f t="shared" si="19"/>
        <v>611.65559593693217</v>
      </c>
      <c r="AR28" s="22">
        <f t="shared" si="32"/>
        <v>3058.2779796846607</v>
      </c>
      <c r="AS28" s="7">
        <f t="shared" si="33"/>
        <v>43.7</v>
      </c>
      <c r="AT28" s="7">
        <f t="shared" si="20"/>
        <v>387.52849237300478</v>
      </c>
      <c r="AU28" s="22">
        <f t="shared" si="34"/>
        <v>16934.995116700309</v>
      </c>
      <c r="AW28" s="7">
        <f t="shared" si="35"/>
        <v>204.75</v>
      </c>
      <c r="AY28" s="22">
        <f t="shared" si="36"/>
        <v>38877.497273295914</v>
      </c>
      <c r="BA28" s="22">
        <f t="shared" si="2"/>
        <v>20897.497700580287</v>
      </c>
      <c r="BC28" s="6">
        <f t="shared" si="21"/>
        <v>28.512479911578755</v>
      </c>
      <c r="BE28" s="7">
        <f t="shared" si="42"/>
        <v>243.65426522684771</v>
      </c>
      <c r="BF28" s="7">
        <f t="shared" si="42"/>
        <v>274.75770109246042</v>
      </c>
      <c r="BG28" s="7">
        <f t="shared" si="42"/>
        <v>242.68971834859428</v>
      </c>
      <c r="BH28" s="7">
        <v>117.9799000627972</v>
      </c>
    </row>
    <row r="29" spans="1:60" x14ac:dyDescent="0.2">
      <c r="A29" s="8">
        <f t="shared" si="3"/>
        <v>2043</v>
      </c>
      <c r="B29" s="22">
        <f t="shared" si="40"/>
        <v>685.86555113999987</v>
      </c>
      <c r="C29" s="22">
        <f t="shared" si="4"/>
        <v>1370.8398847342278</v>
      </c>
      <c r="E29" s="15">
        <f t="shared" si="41"/>
        <v>37.686570707263421</v>
      </c>
      <c r="F29" s="16">
        <v>45</v>
      </c>
      <c r="H29" s="22">
        <f t="shared" si="0"/>
        <v>25847.920588713801</v>
      </c>
      <c r="I29" s="22">
        <f t="shared" si="0"/>
        <v>61687.794813040251</v>
      </c>
      <c r="K29" s="54">
        <f t="shared" si="23"/>
        <v>25</v>
      </c>
      <c r="L29" s="7">
        <f t="shared" si="5"/>
        <v>54.272768046092523</v>
      </c>
      <c r="M29" s="7">
        <f t="shared" si="6"/>
        <v>1356.8192011523131</v>
      </c>
      <c r="O29" s="15">
        <f t="shared" si="24"/>
        <v>6</v>
      </c>
      <c r="P29" s="7">
        <f t="shared" si="7"/>
        <v>12.169317082219029</v>
      </c>
      <c r="Q29" s="7">
        <f t="shared" si="8"/>
        <v>73.015902493314172</v>
      </c>
      <c r="S29" s="15">
        <f t="shared" si="25"/>
        <v>49</v>
      </c>
      <c r="T29" s="7">
        <f t="shared" si="9"/>
        <v>17.573925551086898</v>
      </c>
      <c r="U29" s="7">
        <f t="shared" si="10"/>
        <v>861.12235200325802</v>
      </c>
      <c r="W29" s="14">
        <f t="shared" si="26"/>
        <v>6</v>
      </c>
      <c r="X29" s="7">
        <f t="shared" si="11"/>
        <v>72.073376954593229</v>
      </c>
      <c r="Y29" s="22">
        <f t="shared" si="12"/>
        <v>432.44026172755935</v>
      </c>
      <c r="AA29" s="7">
        <f t="shared" si="13"/>
        <v>49.991175516117657</v>
      </c>
      <c r="AB29" s="7">
        <f t="shared" si="1"/>
        <v>2249.6028982252947</v>
      </c>
      <c r="AD29" s="7">
        <f t="shared" si="27"/>
        <v>60</v>
      </c>
      <c r="AE29" s="7">
        <f t="shared" si="14"/>
        <v>69.987645722564693</v>
      </c>
      <c r="AF29" s="22">
        <f t="shared" si="15"/>
        <v>4199.258743353882</v>
      </c>
      <c r="AH29" s="15">
        <f t="shared" si="28"/>
        <v>11</v>
      </c>
      <c r="AI29" s="7">
        <f t="shared" si="16"/>
        <v>221.29272424995375</v>
      </c>
      <c r="AJ29" s="7">
        <f t="shared" si="17"/>
        <v>587.50280774324006</v>
      </c>
      <c r="AK29" s="7">
        <f t="shared" si="29"/>
        <v>3021.7227744927313</v>
      </c>
      <c r="AM29" s="7">
        <f t="shared" si="18"/>
        <v>155.97246761028697</v>
      </c>
      <c r="AN29" s="22">
        <f t="shared" si="30"/>
        <v>7018.7610424629138</v>
      </c>
      <c r="AP29" s="7">
        <f t="shared" si="31"/>
        <v>5</v>
      </c>
      <c r="AQ29" s="7">
        <f t="shared" si="19"/>
        <v>631.22857500691396</v>
      </c>
      <c r="AR29" s="22">
        <f t="shared" si="32"/>
        <v>3156.1428750345699</v>
      </c>
      <c r="AS29" s="7">
        <f t="shared" si="33"/>
        <v>43.7</v>
      </c>
      <c r="AT29" s="7">
        <f t="shared" si="20"/>
        <v>399.92940412894092</v>
      </c>
      <c r="AU29" s="22">
        <f t="shared" si="34"/>
        <v>17476.914960434719</v>
      </c>
      <c r="AW29" s="7">
        <f t="shared" si="35"/>
        <v>204.75</v>
      </c>
      <c r="AY29" s="22">
        <f t="shared" si="36"/>
        <v>40050.55101138055</v>
      </c>
      <c r="BA29" s="22">
        <f t="shared" si="2"/>
        <v>21637.243801659701</v>
      </c>
      <c r="BC29" s="6">
        <f t="shared" si="21"/>
        <v>28.463667224545887</v>
      </c>
      <c r="BE29" s="7">
        <f t="shared" si="42"/>
        <v>251.45120171410684</v>
      </c>
      <c r="BF29" s="7">
        <f t="shared" si="42"/>
        <v>283.54994752741914</v>
      </c>
      <c r="BG29" s="7">
        <f t="shared" si="42"/>
        <v>250.4557893357493</v>
      </c>
      <c r="BH29" s="7">
        <v>118.93946403035226</v>
      </c>
    </row>
    <row r="30" spans="1:60" x14ac:dyDescent="0.2">
      <c r="A30" s="8">
        <f t="shared" si="3"/>
        <v>2044</v>
      </c>
      <c r="B30" s="22">
        <f t="shared" si="40"/>
        <v>685.86555113999987</v>
      </c>
      <c r="C30" s="22">
        <f t="shared" si="4"/>
        <v>1414.7067610457229</v>
      </c>
      <c r="E30" s="15">
        <f t="shared" si="41"/>
        <v>37.550867602134637</v>
      </c>
      <c r="F30" s="16">
        <v>45</v>
      </c>
      <c r="H30" s="22">
        <f t="shared" si="0"/>
        <v>25754.846503723238</v>
      </c>
      <c r="I30" s="22">
        <f t="shared" si="0"/>
        <v>63661.804247057531</v>
      </c>
      <c r="K30" s="54">
        <f t="shared" si="23"/>
        <v>25</v>
      </c>
      <c r="L30" s="7">
        <f t="shared" si="5"/>
        <v>54.889417961109054</v>
      </c>
      <c r="M30" s="7">
        <f t="shared" si="6"/>
        <v>1372.2354490277264</v>
      </c>
      <c r="O30" s="15">
        <f t="shared" si="24"/>
        <v>6</v>
      </c>
      <c r="P30" s="7">
        <f t="shared" si="7"/>
        <v>12.307585473803302</v>
      </c>
      <c r="Q30" s="7">
        <f t="shared" si="8"/>
        <v>73.845512842819815</v>
      </c>
      <c r="S30" s="15">
        <f t="shared" si="25"/>
        <v>49</v>
      </c>
      <c r="T30" s="7">
        <f t="shared" si="9"/>
        <v>17.773601375404187</v>
      </c>
      <c r="U30" s="7">
        <f t="shared" si="10"/>
        <v>870.90646739480519</v>
      </c>
      <c r="W30" s="14">
        <f t="shared" si="26"/>
        <v>6</v>
      </c>
      <c r="X30" s="7">
        <f t="shared" si="11"/>
        <v>72.892278281613414</v>
      </c>
      <c r="Y30" s="22">
        <f t="shared" si="12"/>
        <v>437.35366968968049</v>
      </c>
      <c r="AA30" s="7">
        <f t="shared" si="13"/>
        <v>51.590893132633425</v>
      </c>
      <c r="AB30" s="7">
        <f t="shared" si="1"/>
        <v>2321.590190968504</v>
      </c>
      <c r="AD30" s="7">
        <f t="shared" si="27"/>
        <v>60</v>
      </c>
      <c r="AE30" s="7">
        <f t="shared" si="14"/>
        <v>72.227250385686759</v>
      </c>
      <c r="AF30" s="22">
        <f t="shared" si="15"/>
        <v>4333.6350231412052</v>
      </c>
      <c r="AH30" s="15">
        <f t="shared" si="28"/>
        <v>11</v>
      </c>
      <c r="AI30" s="7">
        <f t="shared" si="16"/>
        <v>228.37409142595226</v>
      </c>
      <c r="AJ30" s="7">
        <f t="shared" si="17"/>
        <v>606.30289759102379</v>
      </c>
      <c r="AK30" s="7">
        <f t="shared" si="29"/>
        <v>3118.4179032764987</v>
      </c>
      <c r="AM30" s="7">
        <f t="shared" si="18"/>
        <v>160.96358657381614</v>
      </c>
      <c r="AN30" s="22">
        <f t="shared" si="30"/>
        <v>7243.3613958217265</v>
      </c>
      <c r="AP30" s="7">
        <f t="shared" si="31"/>
        <v>5</v>
      </c>
      <c r="AQ30" s="7">
        <f t="shared" si="19"/>
        <v>651.42788940713524</v>
      </c>
      <c r="AR30" s="22">
        <f t="shared" si="32"/>
        <v>3257.1394470356763</v>
      </c>
      <c r="AS30" s="7">
        <f t="shared" si="33"/>
        <v>43.7</v>
      </c>
      <c r="AT30" s="7">
        <f t="shared" si="20"/>
        <v>412.72714506106701</v>
      </c>
      <c r="AU30" s="22">
        <f t="shared" si="34"/>
        <v>18036.176239168628</v>
      </c>
      <c r="AW30" s="7">
        <f t="shared" si="35"/>
        <v>204.75</v>
      </c>
      <c r="AY30" s="22">
        <f t="shared" si="36"/>
        <v>41269.411298367268</v>
      </c>
      <c r="BA30" s="22">
        <f t="shared" si="2"/>
        <v>22392.392948690263</v>
      </c>
      <c r="BC30" s="6">
        <f t="shared" si="21"/>
        <v>28.422434232765436</v>
      </c>
      <c r="BE30" s="7">
        <f t="shared" si="42"/>
        <v>259.49764016895824</v>
      </c>
      <c r="BF30" s="7">
        <f t="shared" si="42"/>
        <v>292.62354584829654</v>
      </c>
      <c r="BG30" s="7">
        <f t="shared" si="42"/>
        <v>258.47037459449325</v>
      </c>
      <c r="BH30" s="7">
        <v>120.29086019139086</v>
      </c>
    </row>
    <row r="31" spans="1:60" x14ac:dyDescent="0.2">
      <c r="A31" s="8">
        <f t="shared" si="3"/>
        <v>2045</v>
      </c>
      <c r="B31" s="22">
        <f t="shared" si="40"/>
        <v>685.86555113999987</v>
      </c>
      <c r="C31" s="22">
        <f t="shared" si="4"/>
        <v>1459.977377399186</v>
      </c>
      <c r="E31" s="15">
        <f t="shared" si="41"/>
        <v>37.415653141432664</v>
      </c>
      <c r="F31" s="16">
        <v>45</v>
      </c>
      <c r="H31" s="22">
        <f t="shared" si="0"/>
        <v>25662.107563111782</v>
      </c>
      <c r="I31" s="22">
        <f t="shared" si="0"/>
        <v>65698.981982963378</v>
      </c>
      <c r="K31" s="54">
        <f t="shared" si="23"/>
        <v>25</v>
      </c>
      <c r="L31" s="7">
        <f t="shared" si="5"/>
        <v>55.61840839649394</v>
      </c>
      <c r="M31" s="7">
        <f t="shared" si="6"/>
        <v>1390.4602099123485</v>
      </c>
      <c r="O31" s="15">
        <f t="shared" si="24"/>
        <v>6</v>
      </c>
      <c r="P31" s="7">
        <f t="shared" si="7"/>
        <v>12.471043430297605</v>
      </c>
      <c r="Q31" s="7">
        <f t="shared" si="8"/>
        <v>74.826260581785633</v>
      </c>
      <c r="S31" s="15">
        <f t="shared" si="25"/>
        <v>49</v>
      </c>
      <c r="T31" s="7">
        <f t="shared" si="9"/>
        <v>18.009653894929784</v>
      </c>
      <c r="U31" s="7">
        <f t="shared" si="10"/>
        <v>882.4730408515594</v>
      </c>
      <c r="W31" s="14">
        <f t="shared" si="26"/>
        <v>6</v>
      </c>
      <c r="X31" s="7">
        <f t="shared" si="11"/>
        <v>73.860366041595853</v>
      </c>
      <c r="Y31" s="22">
        <f t="shared" si="12"/>
        <v>443.16219624957512</v>
      </c>
      <c r="AA31" s="7">
        <f t="shared" si="13"/>
        <v>53.241801712877695</v>
      </c>
      <c r="AB31" s="7">
        <f t="shared" si="1"/>
        <v>2395.8810770794962</v>
      </c>
      <c r="AD31" s="7">
        <f t="shared" si="27"/>
        <v>60</v>
      </c>
      <c r="AE31" s="7">
        <f t="shared" si="14"/>
        <v>74.538522398028732</v>
      </c>
      <c r="AF31" s="22">
        <f t="shared" si="15"/>
        <v>4472.3113438817236</v>
      </c>
      <c r="AH31" s="15">
        <f t="shared" si="28"/>
        <v>11</v>
      </c>
      <c r="AI31" s="7">
        <f t="shared" si="16"/>
        <v>235.68206235158272</v>
      </c>
      <c r="AJ31" s="7">
        <f t="shared" si="17"/>
        <v>625.70459031393648</v>
      </c>
      <c r="AK31" s="7">
        <f t="shared" si="29"/>
        <v>3218.2072761813465</v>
      </c>
      <c r="AM31" s="7">
        <f t="shared" si="18"/>
        <v>166.11442134417825</v>
      </c>
      <c r="AN31" s="22">
        <f t="shared" si="30"/>
        <v>7475.1489604880217</v>
      </c>
      <c r="AP31" s="7">
        <f t="shared" si="31"/>
        <v>5</v>
      </c>
      <c r="AQ31" s="7">
        <f t="shared" si="19"/>
        <v>672.27358186816366</v>
      </c>
      <c r="AR31" s="22">
        <f t="shared" si="32"/>
        <v>3361.3679093408182</v>
      </c>
      <c r="AS31" s="7">
        <f t="shared" si="33"/>
        <v>43.7</v>
      </c>
      <c r="AT31" s="7">
        <f t="shared" si="20"/>
        <v>425.93441370302116</v>
      </c>
      <c r="AU31" s="22">
        <f t="shared" si="34"/>
        <v>18613.333878822024</v>
      </c>
      <c r="AW31" s="7">
        <f t="shared" si="35"/>
        <v>204.75</v>
      </c>
      <c r="AY31" s="22">
        <f t="shared" si="36"/>
        <v>42531.922153388703</v>
      </c>
      <c r="BA31" s="22">
        <f t="shared" si="2"/>
        <v>23167.059829574675</v>
      </c>
      <c r="BC31" s="6">
        <f t="shared" si="21"/>
        <v>28.38578320366129</v>
      </c>
      <c r="BE31" s="7">
        <f t="shared" si="42"/>
        <v>267.80156465436488</v>
      </c>
      <c r="BF31" s="7">
        <f t="shared" si="42"/>
        <v>301.98749931544205</v>
      </c>
      <c r="BG31" s="7">
        <f t="shared" si="42"/>
        <v>266.74142658151703</v>
      </c>
      <c r="BH31" s="7">
        <v>121.88845203697896</v>
      </c>
    </row>
    <row r="32" spans="1:60" x14ac:dyDescent="0.2">
      <c r="A32" s="8">
        <f t="shared" si="3"/>
        <v>2046</v>
      </c>
      <c r="B32" s="22">
        <f t="shared" si="40"/>
        <v>685.86555113999987</v>
      </c>
      <c r="C32" s="22">
        <f t="shared" si="4"/>
        <v>1506.6966534759599</v>
      </c>
      <c r="E32" s="15">
        <f t="shared" si="41"/>
        <v>37.280925565629772</v>
      </c>
      <c r="F32" s="16">
        <v>45</v>
      </c>
      <c r="H32" s="22">
        <f t="shared" si="0"/>
        <v>25569.702560079975</v>
      </c>
      <c r="I32" s="22">
        <f t="shared" si="0"/>
        <v>67801.349406418201</v>
      </c>
      <c r="K32" s="54">
        <f t="shared" si="23"/>
        <v>25</v>
      </c>
      <c r="L32" s="7">
        <f t="shared" si="5"/>
        <v>56.455440345767826</v>
      </c>
      <c r="M32" s="7">
        <f t="shared" si="6"/>
        <v>1411.3860086441957</v>
      </c>
      <c r="O32" s="15">
        <f t="shared" si="24"/>
        <v>6</v>
      </c>
      <c r="P32" s="7">
        <f t="shared" si="7"/>
        <v>12.658727006525208</v>
      </c>
      <c r="Q32" s="7">
        <f t="shared" si="8"/>
        <v>75.95236203915124</v>
      </c>
      <c r="S32" s="15">
        <f t="shared" si="25"/>
        <v>49</v>
      </c>
      <c r="T32" s="7">
        <f t="shared" si="9"/>
        <v>18.280691059423173</v>
      </c>
      <c r="U32" s="7">
        <f t="shared" si="10"/>
        <v>895.7538619117355</v>
      </c>
      <c r="W32" s="14">
        <f t="shared" si="26"/>
        <v>6</v>
      </c>
      <c r="X32" s="7">
        <f t="shared" si="11"/>
        <v>74.971931221979133</v>
      </c>
      <c r="Y32" s="22">
        <f t="shared" si="12"/>
        <v>449.8315873318748</v>
      </c>
      <c r="AA32" s="7">
        <f t="shared" si="13"/>
        <v>54.945539367689783</v>
      </c>
      <c r="AB32" s="7">
        <f t="shared" si="1"/>
        <v>2472.54927154604</v>
      </c>
      <c r="AD32" s="7">
        <f t="shared" si="27"/>
        <v>60</v>
      </c>
      <c r="AE32" s="7">
        <f t="shared" si="14"/>
        <v>76.923755114765655</v>
      </c>
      <c r="AF32" s="22">
        <f t="shared" si="15"/>
        <v>4615.4253068859389</v>
      </c>
      <c r="AH32" s="15">
        <f t="shared" si="28"/>
        <v>11</v>
      </c>
      <c r="AI32" s="7">
        <f t="shared" si="16"/>
        <v>243.22388834683335</v>
      </c>
      <c r="AJ32" s="7">
        <f t="shared" si="17"/>
        <v>645.72713720398235</v>
      </c>
      <c r="AK32" s="7">
        <f t="shared" si="29"/>
        <v>3321.1899090191491</v>
      </c>
      <c r="AM32" s="7">
        <f t="shared" si="18"/>
        <v>171.43008282719197</v>
      </c>
      <c r="AN32" s="22">
        <f t="shared" si="30"/>
        <v>7714.3537272236381</v>
      </c>
      <c r="AP32" s="7">
        <f t="shared" si="31"/>
        <v>5</v>
      </c>
      <c r="AQ32" s="7">
        <f t="shared" si="19"/>
        <v>693.78633648794494</v>
      </c>
      <c r="AR32" s="22">
        <f t="shared" si="32"/>
        <v>3468.9316824397247</v>
      </c>
      <c r="AS32" s="7">
        <f t="shared" si="33"/>
        <v>43.7</v>
      </c>
      <c r="AT32" s="7">
        <f t="shared" si="20"/>
        <v>439.56431494151786</v>
      </c>
      <c r="AU32" s="22">
        <f t="shared" si="34"/>
        <v>19208.960562944332</v>
      </c>
      <c r="AW32" s="7">
        <f t="shared" si="35"/>
        <v>204.75</v>
      </c>
      <c r="AY32" s="22">
        <f t="shared" si="36"/>
        <v>43839.084279985778</v>
      </c>
      <c r="BA32" s="22">
        <f t="shared" si="2"/>
        <v>23962.265126432423</v>
      </c>
      <c r="BC32" s="6">
        <f t="shared" si="21"/>
        <v>28.353196776241589</v>
      </c>
      <c r="BE32" s="7">
        <f t="shared" si="42"/>
        <v>276.37121472330455</v>
      </c>
      <c r="BF32" s="7">
        <f t="shared" si="42"/>
        <v>311.65109929353622</v>
      </c>
      <c r="BG32" s="7">
        <f t="shared" si="42"/>
        <v>275.27715223212556</v>
      </c>
      <c r="BH32" s="7">
        <v>123.72281823953503</v>
      </c>
    </row>
    <row r="33" spans="1:60" x14ac:dyDescent="0.2">
      <c r="A33" s="8">
        <f t="shared" si="3"/>
        <v>2047</v>
      </c>
      <c r="B33" s="22">
        <f t="shared" si="40"/>
        <v>685.86555113999987</v>
      </c>
      <c r="C33" s="22">
        <f t="shared" si="4"/>
        <v>1554.9109463871907</v>
      </c>
      <c r="E33" s="15">
        <f t="shared" si="41"/>
        <v>37.146683121534004</v>
      </c>
      <c r="F33" s="16">
        <v>45</v>
      </c>
      <c r="H33" s="22">
        <f t="shared" si="0"/>
        <v>25477.63029217385</v>
      </c>
      <c r="I33" s="22">
        <f t="shared" si="0"/>
        <v>69970.992587423578</v>
      </c>
      <c r="K33" s="54">
        <f t="shared" si="23"/>
        <v>25</v>
      </c>
      <c r="L33" s="7">
        <f t="shared" si="5"/>
        <v>57.33844777033049</v>
      </c>
      <c r="M33" s="7">
        <f t="shared" si="6"/>
        <v>1433.4611942582621</v>
      </c>
      <c r="O33" s="15">
        <f t="shared" si="24"/>
        <v>6</v>
      </c>
      <c r="P33" s="7">
        <f t="shared" si="7"/>
        <v>12.85671943850013</v>
      </c>
      <c r="Q33" s="7">
        <f t="shared" si="8"/>
        <v>77.140316631000786</v>
      </c>
      <c r="S33" s="15">
        <f t="shared" si="25"/>
        <v>49</v>
      </c>
      <c r="T33" s="7">
        <f t="shared" si="9"/>
        <v>18.566615424422253</v>
      </c>
      <c r="U33" s="7">
        <f t="shared" si="10"/>
        <v>909.76415579669037</v>
      </c>
      <c r="W33" s="14">
        <f t="shared" si="26"/>
        <v>6</v>
      </c>
      <c r="X33" s="7">
        <f t="shared" si="11"/>
        <v>76.144551105861979</v>
      </c>
      <c r="Y33" s="22">
        <f t="shared" si="12"/>
        <v>456.86730663517187</v>
      </c>
      <c r="AA33" s="7">
        <f t="shared" si="13"/>
        <v>56.703796627455858</v>
      </c>
      <c r="AB33" s="7">
        <f t="shared" si="1"/>
        <v>2551.6708482355134</v>
      </c>
      <c r="AD33" s="7">
        <f t="shared" si="27"/>
        <v>60</v>
      </c>
      <c r="AE33" s="7">
        <f t="shared" si="14"/>
        <v>79.385315278438156</v>
      </c>
      <c r="AF33" s="22">
        <f t="shared" si="15"/>
        <v>4763.1189167062894</v>
      </c>
      <c r="AH33" s="15">
        <f t="shared" si="28"/>
        <v>11</v>
      </c>
      <c r="AI33" s="7">
        <f t="shared" si="16"/>
        <v>251.007052773932</v>
      </c>
      <c r="AJ33" s="7">
        <f t="shared" si="17"/>
        <v>666.39040559450984</v>
      </c>
      <c r="AK33" s="7">
        <f t="shared" si="29"/>
        <v>3427.467986107762</v>
      </c>
      <c r="AM33" s="7">
        <f t="shared" si="18"/>
        <v>176.91584547766212</v>
      </c>
      <c r="AN33" s="22">
        <f t="shared" si="30"/>
        <v>7961.213046494795</v>
      </c>
      <c r="AP33" s="7">
        <f t="shared" si="31"/>
        <v>5</v>
      </c>
      <c r="AQ33" s="7">
        <f t="shared" si="19"/>
        <v>715.9874992555591</v>
      </c>
      <c r="AR33" s="22">
        <f t="shared" si="32"/>
        <v>3579.9374962777956</v>
      </c>
      <c r="AS33" s="7">
        <f t="shared" si="33"/>
        <v>43.7</v>
      </c>
      <c r="AT33" s="7">
        <f t="shared" si="20"/>
        <v>453.63037301964641</v>
      </c>
      <c r="AU33" s="22">
        <f t="shared" si="34"/>
        <v>19823.64730095855</v>
      </c>
      <c r="AW33" s="7">
        <f t="shared" si="35"/>
        <v>204.75</v>
      </c>
      <c r="AY33" s="22">
        <f t="shared" si="36"/>
        <v>45189.038568101823</v>
      </c>
      <c r="BA33" s="22">
        <f t="shared" si="2"/>
        <v>24781.954019321754</v>
      </c>
      <c r="BC33" s="6">
        <f t="shared" si="21"/>
        <v>28.322263531228757</v>
      </c>
      <c r="BE33" s="7">
        <f t="shared" si="42"/>
        <v>285.21509359445031</v>
      </c>
      <c r="BF33" s="7">
        <f t="shared" si="42"/>
        <v>321.62393447092938</v>
      </c>
      <c r="BG33" s="7">
        <f t="shared" si="42"/>
        <v>284.08602110355355</v>
      </c>
      <c r="BH33" s="7">
        <v>125.65794028311885</v>
      </c>
    </row>
    <row r="34" spans="1:60" x14ac:dyDescent="0.2">
      <c r="A34" s="8">
        <f t="shared" si="3"/>
        <v>2048</v>
      </c>
      <c r="B34" s="22">
        <f t="shared" si="40"/>
        <v>685.86555113999987</v>
      </c>
      <c r="C34" s="22">
        <f t="shared" si="4"/>
        <v>1604.6680966715808</v>
      </c>
      <c r="E34" s="15">
        <f t="shared" si="41"/>
        <v>37.012924062266357</v>
      </c>
      <c r="F34" s="16">
        <v>45</v>
      </c>
      <c r="H34" s="22">
        <f t="shared" si="0"/>
        <v>25385.88956126928</v>
      </c>
      <c r="I34" s="22">
        <f t="shared" si="0"/>
        <v>72210.064350221131</v>
      </c>
      <c r="K34" s="54">
        <f t="shared" si="23"/>
        <v>25</v>
      </c>
      <c r="L34" s="7">
        <f t="shared" si="5"/>
        <v>58.251667414003172</v>
      </c>
      <c r="M34" s="7">
        <f t="shared" si="6"/>
        <v>1456.2916853500792</v>
      </c>
      <c r="O34" s="15">
        <f t="shared" si="24"/>
        <v>6</v>
      </c>
      <c r="P34" s="7">
        <f t="shared" si="7"/>
        <v>13.06148620845971</v>
      </c>
      <c r="Q34" s="7">
        <f t="shared" si="8"/>
        <v>78.368917250758258</v>
      </c>
      <c r="S34" s="15">
        <f t="shared" si="25"/>
        <v>49</v>
      </c>
      <c r="T34" s="7">
        <f t="shared" si="9"/>
        <v>18.862322730452117</v>
      </c>
      <c r="U34" s="7">
        <f t="shared" si="10"/>
        <v>924.25381379215378</v>
      </c>
      <c r="W34" s="14">
        <f t="shared" si="26"/>
        <v>6</v>
      </c>
      <c r="X34" s="7">
        <f t="shared" si="11"/>
        <v>77.35729233853435</v>
      </c>
      <c r="Y34" s="22">
        <f t="shared" si="12"/>
        <v>464.14375403120607</v>
      </c>
      <c r="AA34" s="7">
        <f t="shared" si="13"/>
        <v>58.518318119534449</v>
      </c>
      <c r="AB34" s="7">
        <f t="shared" si="1"/>
        <v>2633.3243153790504</v>
      </c>
      <c r="AD34" s="7">
        <f t="shared" si="27"/>
        <v>60</v>
      </c>
      <c r="AE34" s="7">
        <f t="shared" si="14"/>
        <v>81.925645367348181</v>
      </c>
      <c r="AF34" s="22">
        <f t="shared" si="15"/>
        <v>4915.5387220408911</v>
      </c>
      <c r="AH34" s="15">
        <f t="shared" si="28"/>
        <v>11</v>
      </c>
      <c r="AI34" s="7">
        <f t="shared" si="16"/>
        <v>259.03927846269784</v>
      </c>
      <c r="AJ34" s="7">
        <f t="shared" si="17"/>
        <v>687.71489857353413</v>
      </c>
      <c r="AK34" s="7">
        <f t="shared" si="29"/>
        <v>3537.1469616632103</v>
      </c>
      <c r="AM34" s="7">
        <f t="shared" si="18"/>
        <v>182.57715253294731</v>
      </c>
      <c r="AN34" s="22">
        <f t="shared" si="30"/>
        <v>8215.9718639826297</v>
      </c>
      <c r="AP34" s="7">
        <f t="shared" si="31"/>
        <v>5</v>
      </c>
      <c r="AQ34" s="7">
        <f t="shared" si="19"/>
        <v>738.89909923173695</v>
      </c>
      <c r="AR34" s="22">
        <f t="shared" si="32"/>
        <v>3694.4954961586845</v>
      </c>
      <c r="AS34" s="7">
        <f t="shared" si="33"/>
        <v>43.7</v>
      </c>
      <c r="AT34" s="7">
        <f t="shared" si="20"/>
        <v>468.14654495627508</v>
      </c>
      <c r="AU34" s="22">
        <f t="shared" si="34"/>
        <v>20458.004014589224</v>
      </c>
      <c r="AW34" s="7">
        <f t="shared" si="35"/>
        <v>204.75</v>
      </c>
      <c r="AY34" s="22">
        <f t="shared" si="36"/>
        <v>46582.289544237879</v>
      </c>
      <c r="BA34" s="22">
        <f t="shared" si="2"/>
        <v>25627.774805983252</v>
      </c>
      <c r="BC34" s="6">
        <f t="shared" si="21"/>
        <v>28.292352937388028</v>
      </c>
      <c r="BE34" s="7">
        <f t="shared" si="42"/>
        <v>294.34197658947272</v>
      </c>
      <c r="BF34" s="7">
        <f t="shared" si="42"/>
        <v>331.91590037399914</v>
      </c>
      <c r="BG34" s="7">
        <f t="shared" si="42"/>
        <v>293.17677377886724</v>
      </c>
      <c r="BH34" s="7">
        <v>127.65927279057767</v>
      </c>
    </row>
    <row r="35" spans="1:60" x14ac:dyDescent="0.2">
      <c r="A35" s="8">
        <f t="shared" si="3"/>
        <v>2049</v>
      </c>
      <c r="B35" s="22">
        <f t="shared" si="40"/>
        <v>685.86555113999987</v>
      </c>
      <c r="C35" s="22">
        <f t="shared" si="4"/>
        <v>1656.0174757650716</v>
      </c>
      <c r="E35" s="15">
        <f t="shared" si="41"/>
        <v>36.879646647238054</v>
      </c>
      <c r="F35" s="16">
        <v>45</v>
      </c>
      <c r="H35" s="22">
        <f t="shared" si="0"/>
        <v>25294.479173556378</v>
      </c>
      <c r="I35" s="22">
        <f t="shared" si="0"/>
        <v>74520.786409428227</v>
      </c>
      <c r="K35" s="54">
        <f t="shared" si="23"/>
        <v>25</v>
      </c>
      <c r="L35" s="7">
        <f t="shared" si="5"/>
        <v>59.140102194998981</v>
      </c>
      <c r="M35" s="7">
        <f t="shared" si="6"/>
        <v>1478.5025548749745</v>
      </c>
      <c r="O35" s="15">
        <f t="shared" si="24"/>
        <v>6</v>
      </c>
      <c r="P35" s="7">
        <f t="shared" si="7"/>
        <v>13.260695589997571</v>
      </c>
      <c r="Q35" s="7">
        <f t="shared" si="8"/>
        <v>79.564173539985433</v>
      </c>
      <c r="S35" s="15">
        <f t="shared" si="25"/>
        <v>49</v>
      </c>
      <c r="T35" s="7">
        <f t="shared" si="9"/>
        <v>19.150004513790616</v>
      </c>
      <c r="U35" s="7">
        <f t="shared" si="10"/>
        <v>938.35022117574022</v>
      </c>
      <c r="W35" s="14">
        <f t="shared" si="26"/>
        <v>6</v>
      </c>
      <c r="X35" s="7">
        <f t="shared" si="11"/>
        <v>78.5371196658581</v>
      </c>
      <c r="Y35" s="22">
        <f t="shared" si="12"/>
        <v>471.22271799514863</v>
      </c>
      <c r="AA35" s="7">
        <f t="shared" si="13"/>
        <v>60.390904299359555</v>
      </c>
      <c r="AB35" s="7">
        <f t="shared" si="1"/>
        <v>2717.5906934711797</v>
      </c>
      <c r="AD35" s="7">
        <f t="shared" si="27"/>
        <v>60</v>
      </c>
      <c r="AE35" s="7">
        <f t="shared" si="14"/>
        <v>84.547266019103319</v>
      </c>
      <c r="AF35" s="22">
        <f t="shared" si="15"/>
        <v>5072.8359611461992</v>
      </c>
      <c r="AH35" s="15">
        <f t="shared" si="28"/>
        <v>11</v>
      </c>
      <c r="AI35" s="7">
        <f t="shared" si="16"/>
        <v>267.32853537350417</v>
      </c>
      <c r="AJ35" s="7">
        <f t="shared" si="17"/>
        <v>709.72177532788726</v>
      </c>
      <c r="AK35" s="7">
        <f t="shared" si="29"/>
        <v>3650.335664436433</v>
      </c>
      <c r="AM35" s="7">
        <f t="shared" si="18"/>
        <v>188.41962141400163</v>
      </c>
      <c r="AN35" s="22">
        <f t="shared" si="30"/>
        <v>8478.8829636300725</v>
      </c>
      <c r="AP35" s="7">
        <f t="shared" si="31"/>
        <v>5</v>
      </c>
      <c r="AQ35" s="7">
        <f t="shared" si="19"/>
        <v>762.54387040715255</v>
      </c>
      <c r="AR35" s="22">
        <f t="shared" si="32"/>
        <v>3812.7193520357628</v>
      </c>
      <c r="AS35" s="7">
        <f t="shared" si="33"/>
        <v>43.7</v>
      </c>
      <c r="AT35" s="7">
        <f t="shared" si="20"/>
        <v>483.12723439487587</v>
      </c>
      <c r="AU35" s="22">
        <f t="shared" si="34"/>
        <v>21112.660143056077</v>
      </c>
      <c r="AW35" s="7">
        <f t="shared" si="35"/>
        <v>204.75</v>
      </c>
      <c r="AY35" s="22">
        <f t="shared" si="36"/>
        <v>48017.414445361574</v>
      </c>
      <c r="BA35" s="22">
        <f t="shared" si="2"/>
        <v>26503.371964066653</v>
      </c>
      <c r="BC35" s="6">
        <f t="shared" si="21"/>
        <v>28.261671344860421</v>
      </c>
      <c r="BE35" s="7">
        <f t="shared" si="42"/>
        <v>303.76091984033587</v>
      </c>
      <c r="BF35" s="7">
        <f t="shared" si="42"/>
        <v>342.53720918596713</v>
      </c>
      <c r="BG35" s="7">
        <f t="shared" si="42"/>
        <v>302.558430539791</v>
      </c>
      <c r="BH35" s="7">
        <v>129.60628895507148</v>
      </c>
    </row>
    <row r="36" spans="1:60" x14ac:dyDescent="0.2">
      <c r="A36" s="8">
        <f t="shared" si="3"/>
        <v>2050</v>
      </c>
      <c r="B36" s="22">
        <f t="shared" si="40"/>
        <v>685.86555113999987</v>
      </c>
      <c r="C36" s="22">
        <f t="shared" si="4"/>
        <v>1709.0100349895538</v>
      </c>
      <c r="E36" s="15">
        <f t="shared" si="41"/>
        <v>36.746849142127886</v>
      </c>
      <c r="F36" s="16">
        <v>45</v>
      </c>
      <c r="H36" s="22">
        <f t="shared" si="0"/>
        <v>25203.397939523973</v>
      </c>
      <c r="I36" s="22">
        <f t="shared" si="0"/>
        <v>76905.451574529914</v>
      </c>
      <c r="K36" s="54">
        <f t="shared" si="23"/>
        <v>25</v>
      </c>
      <c r="L36" s="7">
        <f t="shared" si="5"/>
        <v>59.986021954257183</v>
      </c>
      <c r="M36" s="7">
        <f t="shared" si="6"/>
        <v>1499.6505488564296</v>
      </c>
      <c r="O36" s="15">
        <f t="shared" si="24"/>
        <v>6</v>
      </c>
      <c r="P36" s="7">
        <f t="shared" si="7"/>
        <v>13.450372036346959</v>
      </c>
      <c r="Q36" s="7">
        <f t="shared" si="8"/>
        <v>80.702232218081747</v>
      </c>
      <c r="S36" s="15">
        <f t="shared" si="25"/>
        <v>49</v>
      </c>
      <c r="T36" s="7">
        <f t="shared" si="9"/>
        <v>19.423919617195175</v>
      </c>
      <c r="U36" s="7">
        <f t="shared" si="10"/>
        <v>951.77206124256361</v>
      </c>
      <c r="W36" s="14">
        <f t="shared" si="26"/>
        <v>6</v>
      </c>
      <c r="X36" s="7">
        <f t="shared" si="11"/>
        <v>79.660487717227369</v>
      </c>
      <c r="Y36" s="22">
        <f t="shared" si="12"/>
        <v>477.96292630336421</v>
      </c>
      <c r="AA36" s="7">
        <f t="shared" si="13"/>
        <v>62.323413236939061</v>
      </c>
      <c r="AB36" s="7">
        <f t="shared" si="1"/>
        <v>2804.5535956622575</v>
      </c>
      <c r="AD36" s="7">
        <f t="shared" si="27"/>
        <v>60</v>
      </c>
      <c r="AE36" s="7">
        <f t="shared" si="14"/>
        <v>87.252778531714625</v>
      </c>
      <c r="AF36" s="22">
        <f t="shared" si="15"/>
        <v>5235.1667119028771</v>
      </c>
      <c r="AH36" s="15">
        <f t="shared" si="28"/>
        <v>11</v>
      </c>
      <c r="AI36" s="7">
        <f t="shared" si="16"/>
        <v>275.88304850545632</v>
      </c>
      <c r="AJ36" s="7">
        <f t="shared" si="17"/>
        <v>732.43287213837971</v>
      </c>
      <c r="AK36" s="7">
        <f t="shared" si="29"/>
        <v>3767.1464056983996</v>
      </c>
      <c r="AM36" s="7">
        <f t="shared" si="18"/>
        <v>194.44904929924968</v>
      </c>
      <c r="AN36" s="22">
        <f t="shared" si="30"/>
        <v>8750.2072184662356</v>
      </c>
      <c r="AP36" s="7">
        <f t="shared" si="31"/>
        <v>5</v>
      </c>
      <c r="AQ36" s="7">
        <f t="shared" si="19"/>
        <v>786.94527426018135</v>
      </c>
      <c r="AR36" s="22">
        <f t="shared" si="32"/>
        <v>3934.726371300907</v>
      </c>
      <c r="AS36" s="7">
        <f t="shared" si="33"/>
        <v>43.7</v>
      </c>
      <c r="AT36" s="7">
        <f t="shared" si="20"/>
        <v>498.58730589551192</v>
      </c>
      <c r="AU36" s="22">
        <f t="shared" si="34"/>
        <v>21788.265267633873</v>
      </c>
      <c r="AW36" s="7">
        <f t="shared" si="35"/>
        <v>204.75</v>
      </c>
      <c r="AY36" s="22">
        <f t="shared" si="36"/>
        <v>49494.903339284996</v>
      </c>
      <c r="BA36" s="22">
        <f t="shared" si="2"/>
        <v>27410.548235244918</v>
      </c>
      <c r="BC36" s="6">
        <f t="shared" si="21"/>
        <v>28.229779199971158</v>
      </c>
      <c r="BE36" s="7">
        <f t="shared" si="42"/>
        <v>313.48126927522662</v>
      </c>
      <c r="BF36" s="7">
        <f t="shared" si="42"/>
        <v>353.49839987991805</v>
      </c>
      <c r="BG36" s="7">
        <f t="shared" si="42"/>
        <v>312.24030031706434</v>
      </c>
      <c r="BH36" s="7">
        <v>131.46013290667179</v>
      </c>
    </row>
    <row r="37" spans="1:60" x14ac:dyDescent="0.2">
      <c r="A37" s="8">
        <f t="shared" si="3"/>
        <v>2051</v>
      </c>
      <c r="B37" s="22">
        <f t="shared" si="40"/>
        <v>685.86555113999987</v>
      </c>
      <c r="C37" s="22">
        <f t="shared" si="4"/>
        <v>1763.6983561092195</v>
      </c>
      <c r="E37" s="15">
        <f t="shared" si="41"/>
        <v>36.614529818859644</v>
      </c>
      <c r="F37" s="16">
        <v>45</v>
      </c>
      <c r="H37" s="22">
        <f t="shared" si="0"/>
        <v>25112.644673944131</v>
      </c>
      <c r="I37" s="22">
        <f t="shared" si="0"/>
        <v>79366.426024914879</v>
      </c>
      <c r="K37" s="54">
        <f t="shared" si="23"/>
        <v>25</v>
      </c>
      <c r="L37" s="7">
        <f t="shared" si="5"/>
        <v>60.747674837736326</v>
      </c>
      <c r="M37" s="7">
        <f t="shared" si="6"/>
        <v>1518.691870943408</v>
      </c>
      <c r="O37" s="15">
        <f t="shared" si="24"/>
        <v>6</v>
      </c>
      <c r="P37" s="7">
        <f t="shared" si="7"/>
        <v>13.621153733675763</v>
      </c>
      <c r="Q37" s="7">
        <f t="shared" si="8"/>
        <v>81.726922402054583</v>
      </c>
      <c r="S37" s="15">
        <f t="shared" si="25"/>
        <v>49</v>
      </c>
      <c r="T37" s="7">
        <f t="shared" si="9"/>
        <v>19.670548480102358</v>
      </c>
      <c r="U37" s="7">
        <f t="shared" si="10"/>
        <v>963.85687552501554</v>
      </c>
      <c r="W37" s="14">
        <f t="shared" si="26"/>
        <v>6</v>
      </c>
      <c r="X37" s="7">
        <f t="shared" si="11"/>
        <v>80.671950691309036</v>
      </c>
      <c r="Y37" s="22">
        <f t="shared" si="12"/>
        <v>484.03170414785421</v>
      </c>
      <c r="AA37" s="7">
        <f t="shared" si="13"/>
        <v>64.317762460521109</v>
      </c>
      <c r="AB37" s="7">
        <f t="shared" si="1"/>
        <v>2894.2993107234497</v>
      </c>
      <c r="AD37" s="7">
        <f t="shared" si="27"/>
        <v>60</v>
      </c>
      <c r="AE37" s="7">
        <f t="shared" si="14"/>
        <v>90.044867444729491</v>
      </c>
      <c r="AF37" s="22">
        <f t="shared" si="15"/>
        <v>5402.6920466837691</v>
      </c>
      <c r="AH37" s="15">
        <f t="shared" si="28"/>
        <v>11</v>
      </c>
      <c r="AI37" s="7">
        <f t="shared" si="16"/>
        <v>284.71130605763091</v>
      </c>
      <c r="AJ37" s="7">
        <f t="shared" si="17"/>
        <v>755.87072404680794</v>
      </c>
      <c r="AK37" s="7">
        <f t="shared" si="29"/>
        <v>3887.6950906807479</v>
      </c>
      <c r="AM37" s="7">
        <f t="shared" si="18"/>
        <v>200.67141887682567</v>
      </c>
      <c r="AN37" s="22">
        <f t="shared" si="30"/>
        <v>9030.2138494571554</v>
      </c>
      <c r="AP37" s="7">
        <f t="shared" si="31"/>
        <v>5</v>
      </c>
      <c r="AQ37" s="7">
        <f t="shared" si="19"/>
        <v>812.12752303650723</v>
      </c>
      <c r="AR37" s="22">
        <f t="shared" si="32"/>
        <v>4060.6376151825361</v>
      </c>
      <c r="AS37" s="7">
        <f t="shared" si="33"/>
        <v>43.7</v>
      </c>
      <c r="AT37" s="7">
        <f t="shared" si="20"/>
        <v>514.54209968416831</v>
      </c>
      <c r="AU37" s="22">
        <f t="shared" si="34"/>
        <v>22485.489756198156</v>
      </c>
      <c r="AW37" s="7">
        <f t="shared" si="35"/>
        <v>204.75</v>
      </c>
      <c r="AY37" s="22">
        <f t="shared" si="36"/>
        <v>51014.085041944141</v>
      </c>
      <c r="BA37" s="22">
        <f t="shared" si="2"/>
        <v>28352.340982970738</v>
      </c>
      <c r="BC37" s="6">
        <f t="shared" si="21"/>
        <v>28.195588386909552</v>
      </c>
      <c r="BE37" s="111">
        <f t="shared" si="42"/>
        <v>323.5126698920339</v>
      </c>
      <c r="BF37" s="111">
        <f t="shared" si="42"/>
        <v>364.81034867607542</v>
      </c>
      <c r="BG37" s="111">
        <f t="shared" si="42"/>
        <v>322.23198992721041</v>
      </c>
      <c r="BH37" s="111">
        <v>133.12930492423399</v>
      </c>
    </row>
    <row r="38" spans="1:60" x14ac:dyDescent="0.2">
      <c r="A38" s="8">
        <f t="shared" si="3"/>
        <v>2052</v>
      </c>
      <c r="B38" s="22">
        <f t="shared" si="40"/>
        <v>685.86555113999987</v>
      </c>
      <c r="C38" s="22">
        <f t="shared" si="4"/>
        <v>1820.1367035047147</v>
      </c>
      <c r="E38" s="15">
        <f t="shared" si="41"/>
        <v>36.482686955579645</v>
      </c>
      <c r="F38" s="16">
        <v>45</v>
      </c>
      <c r="H38" s="22">
        <f t="shared" si="0"/>
        <v>25022.218195856716</v>
      </c>
      <c r="I38" s="22">
        <f t="shared" si="0"/>
        <v>81906.151657712166</v>
      </c>
      <c r="K38" s="54">
        <f t="shared" si="23"/>
        <v>25</v>
      </c>
      <c r="L38" s="7">
        <f t="shared" si="5"/>
        <v>61.415065262904882</v>
      </c>
      <c r="M38" s="7">
        <f t="shared" si="6"/>
        <v>1535.376631572622</v>
      </c>
      <c r="O38" s="15">
        <f t="shared" si="24"/>
        <v>6</v>
      </c>
      <c r="P38" s="7">
        <f t="shared" si="7"/>
        <v>13.770799421447126</v>
      </c>
      <c r="Q38" s="7">
        <f t="shared" si="8"/>
        <v>82.624796528682765</v>
      </c>
      <c r="S38" s="15">
        <f t="shared" si="25"/>
        <v>49</v>
      </c>
      <c r="T38" s="7">
        <f t="shared" si="9"/>
        <v>19.886654458619237</v>
      </c>
      <c r="U38" s="7">
        <f t="shared" si="10"/>
        <v>974.44606847234263</v>
      </c>
      <c r="W38" s="14">
        <f t="shared" si="26"/>
        <v>6</v>
      </c>
      <c r="X38" s="7">
        <f t="shared" si="11"/>
        <v>81.558234612707864</v>
      </c>
      <c r="Y38" s="22">
        <f t="shared" si="12"/>
        <v>489.34940767624721</v>
      </c>
      <c r="AA38" s="7">
        <f t="shared" si="13"/>
        <v>66.375930859257792</v>
      </c>
      <c r="AB38" s="7">
        <f t="shared" si="1"/>
        <v>2986.9168886666007</v>
      </c>
      <c r="AD38" s="7">
        <f t="shared" si="27"/>
        <v>60</v>
      </c>
      <c r="AE38" s="7">
        <f t="shared" si="14"/>
        <v>92.926303202960838</v>
      </c>
      <c r="AF38" s="22">
        <f t="shared" si="15"/>
        <v>5575.5781921776506</v>
      </c>
      <c r="AH38" s="15">
        <f t="shared" si="28"/>
        <v>11</v>
      </c>
      <c r="AI38" s="7">
        <f t="shared" si="16"/>
        <v>293.82206785147508</v>
      </c>
      <c r="AJ38" s="7">
        <f t="shared" si="17"/>
        <v>780.0585872163058</v>
      </c>
      <c r="AK38" s="7">
        <f t="shared" si="29"/>
        <v>4012.1013335825319</v>
      </c>
      <c r="AM38" s="7">
        <f t="shared" si="18"/>
        <v>207.09290428088411</v>
      </c>
      <c r="AN38" s="22">
        <f t="shared" si="30"/>
        <v>9319.1806926397858</v>
      </c>
      <c r="AP38" s="7">
        <f t="shared" si="31"/>
        <v>5</v>
      </c>
      <c r="AQ38" s="7">
        <f t="shared" si="19"/>
        <v>838.11560377367539</v>
      </c>
      <c r="AR38" s="22">
        <f t="shared" si="32"/>
        <v>4190.5780188683766</v>
      </c>
      <c r="AS38" s="7">
        <f t="shared" si="33"/>
        <v>43.7</v>
      </c>
      <c r="AT38" s="7">
        <f t="shared" si="20"/>
        <v>531.00744687406166</v>
      </c>
      <c r="AU38" s="22">
        <f t="shared" si="34"/>
        <v>23205.025428396497</v>
      </c>
      <c r="AW38" s="7">
        <f t="shared" si="35"/>
        <v>204.75</v>
      </c>
      <c r="AY38" s="22">
        <f t="shared" si="36"/>
        <v>52575.92745858134</v>
      </c>
      <c r="BA38" s="22">
        <f t="shared" si="2"/>
        <v>29330.224199130826</v>
      </c>
      <c r="BC38" s="6">
        <f t="shared" si="21"/>
        <v>28.159063277154473</v>
      </c>
      <c r="BE38" s="111">
        <f t="shared" si="42"/>
        <v>333.865075328579</v>
      </c>
      <c r="BF38" s="111">
        <f t="shared" si="42"/>
        <v>376.48427983370982</v>
      </c>
      <c r="BG38" s="111">
        <f t="shared" si="42"/>
        <v>332.54341360488115</v>
      </c>
      <c r="BH38" s="111">
        <v>134.59189956103458</v>
      </c>
    </row>
    <row r="39" spans="1:60" x14ac:dyDescent="0.2">
      <c r="A39" s="8">
        <f t="shared" si="3"/>
        <v>2053</v>
      </c>
      <c r="B39" s="22">
        <f t="shared" si="40"/>
        <v>685.86555113999987</v>
      </c>
      <c r="C39" s="22">
        <f t="shared" si="4"/>
        <v>1878.3810780168656</v>
      </c>
      <c r="E39" s="15">
        <f t="shared" ref="E39:E40" si="43">E38*((E$41/E$21)^(1/($A$41-$A$21)))</f>
        <v>36.351318836634313</v>
      </c>
      <c r="F39" s="16">
        <v>45</v>
      </c>
      <c r="H39" s="22">
        <f t="shared" si="0"/>
        <v>24932.117328554054</v>
      </c>
      <c r="I39" s="22">
        <f t="shared" si="0"/>
        <v>84527.148510758954</v>
      </c>
      <c r="K39" s="54">
        <f t="shared" si="23"/>
        <v>25</v>
      </c>
      <c r="L39" s="7">
        <f t="shared" si="5"/>
        <v>61.965430160772158</v>
      </c>
      <c r="M39" s="7">
        <f t="shared" si="6"/>
        <v>1549.1357540193039</v>
      </c>
      <c r="O39" s="15">
        <f t="shared" si="24"/>
        <v>6</v>
      </c>
      <c r="P39" s="7">
        <f t="shared" si="7"/>
        <v>13.894205048139723</v>
      </c>
      <c r="Q39" s="7">
        <f t="shared" si="8"/>
        <v>83.365230288838333</v>
      </c>
      <c r="S39" s="15">
        <f t="shared" si="25"/>
        <v>49</v>
      </c>
      <c r="T39" s="7">
        <f t="shared" si="9"/>
        <v>20.064866701872369</v>
      </c>
      <c r="U39" s="7">
        <f t="shared" si="10"/>
        <v>983.17846839174604</v>
      </c>
      <c r="W39" s="14">
        <f t="shared" si="26"/>
        <v>6</v>
      </c>
      <c r="X39" s="7">
        <f t="shared" si="11"/>
        <v>82.289110486090195</v>
      </c>
      <c r="Y39" s="22">
        <f t="shared" si="12"/>
        <v>493.7346629165412</v>
      </c>
      <c r="AA39" s="7">
        <f t="shared" si="13"/>
        <v>68.499960646754047</v>
      </c>
      <c r="AB39" s="7">
        <f t="shared" si="1"/>
        <v>3082.4982291039323</v>
      </c>
      <c r="AD39" s="7">
        <f t="shared" si="27"/>
        <v>60</v>
      </c>
      <c r="AE39" s="7">
        <f t="shared" si="14"/>
        <v>95.899944905455584</v>
      </c>
      <c r="AF39" s="22">
        <f t="shared" si="15"/>
        <v>5753.9966943273348</v>
      </c>
      <c r="AH39" s="15">
        <f t="shared" si="28"/>
        <v>11</v>
      </c>
      <c r="AI39" s="7">
        <f t="shared" si="16"/>
        <v>303.22437402272226</v>
      </c>
      <c r="AJ39" s="7">
        <f t="shared" si="17"/>
        <v>805.02046200722759</v>
      </c>
      <c r="AK39" s="7">
        <f t="shared" si="29"/>
        <v>4140.4885762571721</v>
      </c>
      <c r="AM39" s="7">
        <f t="shared" si="18"/>
        <v>213.71987721787241</v>
      </c>
      <c r="AN39" s="22">
        <f t="shared" si="30"/>
        <v>9617.3944748042577</v>
      </c>
      <c r="AP39" s="7">
        <f t="shared" si="31"/>
        <v>5</v>
      </c>
      <c r="AQ39" s="7">
        <f t="shared" si="19"/>
        <v>864.93530309443304</v>
      </c>
      <c r="AR39" s="22">
        <f t="shared" si="32"/>
        <v>4324.6765154721652</v>
      </c>
      <c r="AS39" s="7">
        <f t="shared" si="33"/>
        <v>43.7</v>
      </c>
      <c r="AT39" s="7">
        <f t="shared" si="20"/>
        <v>547.99968517403158</v>
      </c>
      <c r="AU39" s="22">
        <f t="shared" si="34"/>
        <v>23947.586242105182</v>
      </c>
      <c r="AW39" s="7">
        <f t="shared" si="35"/>
        <v>204.75</v>
      </c>
      <c r="AY39" s="22">
        <f t="shared" si="36"/>
        <v>54180.804847686479</v>
      </c>
      <c r="BA39" s="22">
        <f t="shared" si="2"/>
        <v>30346.343663072475</v>
      </c>
      <c r="BC39" s="6">
        <f t="shared" si="21"/>
        <v>28.119834021217134</v>
      </c>
      <c r="BE39" s="111">
        <f t="shared" si="42"/>
        <v>344.5487577390935</v>
      </c>
      <c r="BF39" s="111">
        <f t="shared" si="42"/>
        <v>388.53177678838853</v>
      </c>
      <c r="BG39" s="111">
        <f t="shared" si="42"/>
        <v>343.18480284023735</v>
      </c>
      <c r="BH39" s="111">
        <v>135.79803126078241</v>
      </c>
    </row>
    <row r="40" spans="1:60" x14ac:dyDescent="0.2">
      <c r="A40" s="8">
        <f t="shared" si="3"/>
        <v>2054</v>
      </c>
      <c r="B40" s="22">
        <f t="shared" si="40"/>
        <v>685.86555113999987</v>
      </c>
      <c r="C40" s="22">
        <f t="shared" si="4"/>
        <v>1938.4892725134055</v>
      </c>
      <c r="E40" s="15">
        <f t="shared" si="43"/>
        <v>36.220423752547845</v>
      </c>
      <c r="F40" s="16">
        <v>45</v>
      </c>
      <c r="H40" s="22">
        <f t="shared" si="0"/>
        <v>24842.34089956557</v>
      </c>
      <c r="I40" s="22">
        <f t="shared" si="0"/>
        <v>87232.017263103247</v>
      </c>
      <c r="K40" s="54">
        <f t="shared" si="23"/>
        <v>25</v>
      </c>
      <c r="L40" s="7">
        <f t="shared" si="5"/>
        <v>62.4024836195414</v>
      </c>
      <c r="M40" s="7">
        <f t="shared" si="6"/>
        <v>1560.062090488535</v>
      </c>
      <c r="O40" s="15">
        <f t="shared" si="24"/>
        <v>6</v>
      </c>
      <c r="P40" s="7">
        <f t="shared" si="7"/>
        <v>13.992203405568747</v>
      </c>
      <c r="Q40" s="7">
        <f t="shared" si="8"/>
        <v>83.953220433412483</v>
      </c>
      <c r="S40" s="15">
        <f t="shared" si="25"/>
        <v>49</v>
      </c>
      <c r="T40" s="7">
        <f t="shared" si="9"/>
        <v>20.206387859218399</v>
      </c>
      <c r="U40" s="7">
        <f t="shared" si="10"/>
        <v>990.11300510170156</v>
      </c>
      <c r="W40" s="14">
        <f t="shared" si="26"/>
        <v>6</v>
      </c>
      <c r="X40" s="7">
        <f t="shared" si="11"/>
        <v>82.869510561804631</v>
      </c>
      <c r="Y40" s="22">
        <f t="shared" si="12"/>
        <v>497.21706337082776</v>
      </c>
      <c r="AA40" s="7">
        <f t="shared" si="13"/>
        <v>70.691959387450183</v>
      </c>
      <c r="AB40" s="7">
        <f t="shared" si="1"/>
        <v>3181.1381724352582</v>
      </c>
      <c r="AD40" s="7">
        <f t="shared" si="27"/>
        <v>60</v>
      </c>
      <c r="AE40" s="7">
        <f t="shared" si="14"/>
        <v>98.968743142430171</v>
      </c>
      <c r="AF40" s="22">
        <f t="shared" si="15"/>
        <v>5938.1245885458102</v>
      </c>
      <c r="AH40" s="15">
        <f t="shared" si="28"/>
        <v>11</v>
      </c>
      <c r="AI40" s="7">
        <f t="shared" si="16"/>
        <v>312.92755399144943</v>
      </c>
      <c r="AJ40" s="7">
        <f t="shared" si="17"/>
        <v>830.78111679145889</v>
      </c>
      <c r="AK40" s="7">
        <f t="shared" si="29"/>
        <v>4272.9842106974029</v>
      </c>
      <c r="AM40" s="7">
        <f t="shared" si="18"/>
        <v>220.55891328884431</v>
      </c>
      <c r="AN40" s="22">
        <f t="shared" si="30"/>
        <v>9925.1510979979939</v>
      </c>
      <c r="AP40" s="7">
        <f t="shared" si="31"/>
        <v>5</v>
      </c>
      <c r="AQ40" s="7">
        <f t="shared" si="19"/>
        <v>892.61323279345493</v>
      </c>
      <c r="AR40" s="22">
        <f t="shared" si="32"/>
        <v>4463.0661639672744</v>
      </c>
      <c r="AS40" s="7">
        <f t="shared" si="33"/>
        <v>43.7</v>
      </c>
      <c r="AT40" s="7">
        <f t="shared" si="20"/>
        <v>565.53567509960055</v>
      </c>
      <c r="AU40" s="22">
        <f t="shared" si="34"/>
        <v>24713.909001852546</v>
      </c>
      <c r="AW40" s="7">
        <f t="shared" si="35"/>
        <v>204.75</v>
      </c>
      <c r="AY40" s="22">
        <f t="shared" si="36"/>
        <v>55830.468614890764</v>
      </c>
      <c r="BA40" s="22">
        <f t="shared" si="2"/>
        <v>31401.548648212483</v>
      </c>
      <c r="BC40" s="6">
        <f t="shared" si="21"/>
        <v>28.078303825528039</v>
      </c>
      <c r="BE40" s="111">
        <f t="shared" si="42"/>
        <v>355.57431798674452</v>
      </c>
      <c r="BF40" s="111">
        <f t="shared" si="42"/>
        <v>400.96479364561696</v>
      </c>
      <c r="BG40" s="111">
        <f t="shared" si="42"/>
        <v>354.16671653112496</v>
      </c>
      <c r="BH40" s="111">
        <v>136.75583949518972</v>
      </c>
    </row>
    <row r="41" spans="1:60" x14ac:dyDescent="0.2">
      <c r="A41" s="8">
        <f t="shared" si="3"/>
        <v>2055</v>
      </c>
      <c r="B41" s="22">
        <f t="shared" si="40"/>
        <v>685.86555113999987</v>
      </c>
      <c r="C41" s="22">
        <f t="shared" si="4"/>
        <v>2000.5209292338345</v>
      </c>
      <c r="E41" s="15">
        <f>E7*0.802</f>
        <v>36.090000000000003</v>
      </c>
      <c r="F41" s="16">
        <v>45</v>
      </c>
      <c r="H41" s="22">
        <f t="shared" si="0"/>
        <v>24752.887740642596</v>
      </c>
      <c r="I41" s="22">
        <f t="shared" si="0"/>
        <v>90023.441815522558</v>
      </c>
      <c r="K41" s="54">
        <f t="shared" si="23"/>
        <v>25</v>
      </c>
      <c r="L41" s="7">
        <f t="shared" si="5"/>
        <v>62.723361798870656</v>
      </c>
      <c r="M41" s="7">
        <f t="shared" si="6"/>
        <v>1568.0840449717664</v>
      </c>
      <c r="O41" s="15">
        <f t="shared" si="24"/>
        <v>6</v>
      </c>
      <c r="P41" s="7">
        <f t="shared" si="7"/>
        <v>14.064152348834487</v>
      </c>
      <c r="Q41" s="7">
        <f t="shared" si="8"/>
        <v>84.384914093006927</v>
      </c>
      <c r="S41" s="15">
        <f t="shared" si="25"/>
        <v>49</v>
      </c>
      <c r="T41" s="7">
        <f t="shared" si="9"/>
        <v>20.310290597875689</v>
      </c>
      <c r="U41" s="7">
        <f t="shared" si="10"/>
        <v>995.20423929590879</v>
      </c>
      <c r="W41" s="14">
        <f t="shared" si="26"/>
        <v>6</v>
      </c>
      <c r="X41" s="7">
        <f t="shared" si="11"/>
        <v>83.295631705204954</v>
      </c>
      <c r="Y41" s="22">
        <f t="shared" si="12"/>
        <v>499.77379023122973</v>
      </c>
      <c r="AA41" s="7">
        <f t="shared" si="13"/>
        <v>72.954102087848597</v>
      </c>
      <c r="AB41" s="7">
        <f t="shared" si="1"/>
        <v>3282.9345939531868</v>
      </c>
      <c r="AD41" s="7">
        <f t="shared" si="27"/>
        <v>60</v>
      </c>
      <c r="AE41" s="7">
        <f t="shared" si="14"/>
        <v>102.13574292298794</v>
      </c>
      <c r="AF41" s="22">
        <f t="shared" si="15"/>
        <v>6128.1445753792768</v>
      </c>
      <c r="AH41" s="15">
        <f t="shared" si="28"/>
        <v>11</v>
      </c>
      <c r="AI41" s="7">
        <f t="shared" si="16"/>
        <v>322.94123571917584</v>
      </c>
      <c r="AJ41" s="7">
        <f t="shared" si="17"/>
        <v>857.36611252878561</v>
      </c>
      <c r="AK41" s="7">
        <f t="shared" si="29"/>
        <v>4409.7197054397202</v>
      </c>
      <c r="AM41" s="7">
        <f t="shared" si="18"/>
        <v>227.61679851408732</v>
      </c>
      <c r="AN41" s="22">
        <f t="shared" si="30"/>
        <v>10242.755933133929</v>
      </c>
      <c r="AP41" s="7">
        <f t="shared" si="31"/>
        <v>5</v>
      </c>
      <c r="AQ41" s="7">
        <f t="shared" si="19"/>
        <v>921.17685624284536</v>
      </c>
      <c r="AR41" s="22">
        <f t="shared" si="32"/>
        <v>4605.8842812142266</v>
      </c>
      <c r="AS41" s="7">
        <f t="shared" si="33"/>
        <v>43.7</v>
      </c>
      <c r="AT41" s="7">
        <f t="shared" si="20"/>
        <v>583.63281670278775</v>
      </c>
      <c r="AU41" s="22">
        <f t="shared" si="34"/>
        <v>25504.754089911825</v>
      </c>
      <c r="AW41" s="7">
        <f t="shared" si="35"/>
        <v>204.75</v>
      </c>
      <c r="AY41" s="22">
        <f t="shared" si="36"/>
        <v>57526.390167624071</v>
      </c>
      <c r="BA41" s="22">
        <f t="shared" si="2"/>
        <v>32497.051647898486</v>
      </c>
      <c r="BC41" s="6">
        <f t="shared" si="21"/>
        <v>28.034672942407003</v>
      </c>
      <c r="BE41" s="111">
        <f t="shared" si="42"/>
        <v>366.95269616232036</v>
      </c>
      <c r="BF41" s="111">
        <f t="shared" si="42"/>
        <v>413.7956670422767</v>
      </c>
      <c r="BG41" s="111">
        <f t="shared" si="42"/>
        <v>365.50005146012097</v>
      </c>
      <c r="BH41" s="111">
        <v>137.45904812158676</v>
      </c>
    </row>
    <row r="42" spans="1:60" x14ac:dyDescent="0.2">
      <c r="A42" s="8"/>
      <c r="E42" s="14"/>
      <c r="F42" s="71"/>
      <c r="AW42" s="7"/>
    </row>
  </sheetData>
  <mergeCells count="48">
    <mergeCell ref="B3:H3"/>
    <mergeCell ref="K3:AY3"/>
    <mergeCell ref="BE3:BH3"/>
    <mergeCell ref="B4:C4"/>
    <mergeCell ref="E4:F4"/>
    <mergeCell ref="H4:I4"/>
    <mergeCell ref="K4:M4"/>
    <mergeCell ref="O4:Q4"/>
    <mergeCell ref="S4:U4"/>
    <mergeCell ref="W4:Y4"/>
    <mergeCell ref="AA4:AB4"/>
    <mergeCell ref="AD4:AF4"/>
    <mergeCell ref="AH4:AK4"/>
    <mergeCell ref="AM4:AN4"/>
    <mergeCell ref="AS4:AU4"/>
    <mergeCell ref="AP4:AR4"/>
    <mergeCell ref="X5:X6"/>
    <mergeCell ref="K5:K6"/>
    <mergeCell ref="L5:L6"/>
    <mergeCell ref="M5:M6"/>
    <mergeCell ref="O5:O6"/>
    <mergeCell ref="P5:P6"/>
    <mergeCell ref="Q5:Q6"/>
    <mergeCell ref="S5:S6"/>
    <mergeCell ref="T5:T6"/>
    <mergeCell ref="U5:U6"/>
    <mergeCell ref="W5:W6"/>
    <mergeCell ref="BC5:BC6"/>
    <mergeCell ref="E6:F6"/>
    <mergeCell ref="H6:I6"/>
    <mergeCell ref="BE6:BH6"/>
    <mergeCell ref="AJ5:AJ6"/>
    <mergeCell ref="AK5:AK6"/>
    <mergeCell ref="AM5:AN5"/>
    <mergeCell ref="AS5:AS6"/>
    <mergeCell ref="AT5:AT6"/>
    <mergeCell ref="AU5:AU6"/>
    <mergeCell ref="Y5:Y6"/>
    <mergeCell ref="AA5:AA6"/>
    <mergeCell ref="AB5:AB6"/>
    <mergeCell ref="AD5:AF5"/>
    <mergeCell ref="AH5:AH6"/>
    <mergeCell ref="AI5:AI6"/>
    <mergeCell ref="AP5:AP6"/>
    <mergeCell ref="AQ5:AQ6"/>
    <mergeCell ref="AR5:AR6"/>
    <mergeCell ref="AY5:AY6"/>
    <mergeCell ref="BA5:BA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A0C5-4F48-479E-A372-2E7D301563C0}">
  <sheetPr codeName="Sheet10"/>
  <dimension ref="A1:BN42"/>
  <sheetViews>
    <sheetView topLeftCell="AJ1" workbookViewId="0">
      <selection activeCell="BU8" sqref="BU8"/>
    </sheetView>
  </sheetViews>
  <sheetFormatPr baseColWidth="10" defaultColWidth="8.83203125" defaultRowHeight="15" x14ac:dyDescent="0.2"/>
  <cols>
    <col min="2" max="2" width="16.6640625" bestFit="1" customWidth="1"/>
    <col min="3" max="3" width="16.6640625" customWidth="1"/>
    <col min="4" max="4" width="0.83203125" customWidth="1"/>
    <col min="5" max="5" width="12.1640625" bestFit="1" customWidth="1"/>
    <col min="6" max="6" width="11.5" customWidth="1"/>
    <col min="7" max="7" width="0.83203125" customWidth="1"/>
    <col min="8" max="9" width="13.5" customWidth="1"/>
    <col min="10" max="10" width="5.5" customWidth="1"/>
    <col min="11" max="11" width="9.1640625" customWidth="1"/>
    <col min="12" max="12" width="9.83203125" customWidth="1"/>
    <col min="13" max="13" width="9.1640625" customWidth="1"/>
    <col min="14" max="14" width="0.83203125" customWidth="1"/>
    <col min="15" max="15" width="12.5" customWidth="1"/>
    <col min="16" max="16" width="10.1640625" customWidth="1"/>
    <col min="17" max="17" width="9.1640625" customWidth="1"/>
    <col min="18" max="18" width="0.83203125" customWidth="1"/>
    <col min="19" max="19" width="12.5" customWidth="1"/>
    <col min="20" max="21" width="9.6640625" customWidth="1"/>
    <col min="22" max="22" width="0.83203125" customWidth="1"/>
    <col min="23" max="23" width="12.5" customWidth="1"/>
    <col min="24" max="24" width="9.6640625" customWidth="1"/>
    <col min="25" max="25" width="9.1640625" customWidth="1"/>
    <col min="26" max="26" width="0.83203125" customWidth="1"/>
    <col min="27" max="27" width="13.5" customWidth="1"/>
    <col min="28" max="28" width="10.1640625" customWidth="1"/>
    <col min="29" max="29" width="0.83203125" customWidth="1"/>
    <col min="30" max="30" width="12.6640625" customWidth="1"/>
    <col min="31" max="31" width="9.1640625" customWidth="1"/>
    <col min="32" max="32" width="14.83203125" customWidth="1"/>
    <col min="33" max="33" width="0.83203125" customWidth="1"/>
    <col min="34" max="36" width="9.6640625" customWidth="1"/>
    <col min="37" max="37" width="10" customWidth="1"/>
    <col min="38" max="38" width="0.83203125" customWidth="1"/>
    <col min="39" max="39" width="9.6640625" customWidth="1"/>
    <col min="40" max="40" width="10" customWidth="1"/>
    <col min="41" max="41" width="0.83203125" customWidth="1"/>
    <col min="42" max="47" width="9.6640625" customWidth="1"/>
    <col min="48" max="48" width="0.83203125" customWidth="1"/>
    <col min="49" max="49" width="10.1640625" bestFit="1" customWidth="1"/>
    <col min="50" max="50" width="0.83203125" customWidth="1"/>
    <col min="51" max="51" width="10.83203125" customWidth="1"/>
    <col min="52" max="52" width="12.5" customWidth="1"/>
    <col min="53" max="53" width="5.6640625" customWidth="1"/>
    <col min="56" max="56" width="5.6640625" customWidth="1"/>
    <col min="57" max="57" width="15.83203125" bestFit="1" customWidth="1"/>
    <col min="58" max="58" width="15.83203125" customWidth="1"/>
    <col min="60" max="60" width="10.6640625" customWidth="1"/>
    <col min="61" max="61" width="8.5" customWidth="1"/>
    <col min="62" max="62" width="10.6640625" customWidth="1"/>
    <col min="63" max="63" width="9.6640625" customWidth="1"/>
  </cols>
  <sheetData>
    <row r="1" spans="1:66" x14ac:dyDescent="0.2">
      <c r="A1" s="2" t="s">
        <v>87</v>
      </c>
    </row>
    <row r="2" spans="1:66" x14ac:dyDescent="0.2">
      <c r="AW2" s="103" t="s">
        <v>46</v>
      </c>
    </row>
    <row r="3" spans="1:66" x14ac:dyDescent="0.2">
      <c r="B3" s="252"/>
      <c r="C3" s="252"/>
      <c r="D3" s="252"/>
      <c r="E3" s="252"/>
      <c r="F3" s="252"/>
      <c r="G3" s="252"/>
      <c r="H3" s="50"/>
      <c r="I3" s="50"/>
      <c r="K3" s="265" t="s">
        <v>1</v>
      </c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B3" s="13" t="s">
        <v>2</v>
      </c>
      <c r="BC3" s="13"/>
      <c r="BE3" s="17" t="s">
        <v>3</v>
      </c>
      <c r="BF3" s="17"/>
      <c r="BH3" s="251" t="s">
        <v>4</v>
      </c>
      <c r="BI3" s="251"/>
      <c r="BJ3" s="251"/>
      <c r="BK3" s="251"/>
      <c r="BM3" s="251" t="s">
        <v>101</v>
      </c>
      <c r="BN3" s="251"/>
    </row>
    <row r="4" spans="1:66" x14ac:dyDescent="0.2">
      <c r="B4" s="253" t="s">
        <v>47</v>
      </c>
      <c r="C4" s="253"/>
      <c r="D4" s="3"/>
      <c r="E4" s="38" t="s">
        <v>48</v>
      </c>
      <c r="F4" s="257" t="s">
        <v>95</v>
      </c>
      <c r="G4" s="3"/>
      <c r="H4" s="38" t="s">
        <v>49</v>
      </c>
      <c r="I4" s="38"/>
      <c r="K4" s="242" t="s">
        <v>10</v>
      </c>
      <c r="L4" s="242"/>
      <c r="M4" s="242"/>
      <c r="N4" s="3"/>
      <c r="O4" s="242" t="s">
        <v>11</v>
      </c>
      <c r="P4" s="242"/>
      <c r="Q4" s="242"/>
      <c r="R4" s="3"/>
      <c r="S4" s="242" t="s">
        <v>12</v>
      </c>
      <c r="T4" s="242"/>
      <c r="U4" s="242"/>
      <c r="V4" s="3"/>
      <c r="W4" s="242" t="s">
        <v>13</v>
      </c>
      <c r="X4" s="242"/>
      <c r="Y4" s="242"/>
      <c r="Z4" s="3"/>
      <c r="AA4" s="242" t="s">
        <v>15</v>
      </c>
      <c r="AB4" s="242"/>
      <c r="AC4" s="3"/>
      <c r="AD4" s="242" t="s">
        <v>16</v>
      </c>
      <c r="AE4" s="242"/>
      <c r="AF4" s="242"/>
      <c r="AG4" s="12"/>
      <c r="AH4" s="242" t="s">
        <v>17</v>
      </c>
      <c r="AI4" s="242"/>
      <c r="AJ4" s="242"/>
      <c r="AK4" s="242"/>
      <c r="AL4" s="3"/>
      <c r="AM4" s="242" t="s">
        <v>72</v>
      </c>
      <c r="AN4" s="242"/>
      <c r="AO4" s="3"/>
      <c r="AP4" s="242" t="s">
        <v>88</v>
      </c>
      <c r="AQ4" s="242"/>
      <c r="AR4" s="242"/>
      <c r="AS4" s="242" t="s">
        <v>19</v>
      </c>
      <c r="AT4" s="242"/>
      <c r="AU4" s="242"/>
      <c r="AV4" s="3"/>
      <c r="AW4" s="23" t="s">
        <v>23</v>
      </c>
      <c r="AX4" s="12"/>
      <c r="AY4" s="267" t="s">
        <v>96</v>
      </c>
      <c r="AZ4" s="146" t="s">
        <v>102</v>
      </c>
      <c r="BB4" t="s">
        <v>68</v>
      </c>
      <c r="BC4" s="148" t="s">
        <v>103</v>
      </c>
      <c r="BE4" t="s">
        <v>68</v>
      </c>
      <c r="BF4" s="148" t="s">
        <v>104</v>
      </c>
    </row>
    <row r="5" spans="1:66" ht="15" customHeight="1" x14ac:dyDescent="0.2">
      <c r="B5" t="s">
        <v>68</v>
      </c>
      <c r="C5" s="131" t="s">
        <v>69</v>
      </c>
      <c r="D5" s="1"/>
      <c r="E5" s="11" t="s">
        <v>75</v>
      </c>
      <c r="F5" s="257"/>
      <c r="G5" s="1"/>
      <c r="H5" s="11" t="s">
        <v>105</v>
      </c>
      <c r="I5" s="143" t="s">
        <v>69</v>
      </c>
      <c r="K5" s="258" t="s">
        <v>26</v>
      </c>
      <c r="L5" s="258" t="s">
        <v>27</v>
      </c>
      <c r="M5" s="259" t="s">
        <v>28</v>
      </c>
      <c r="N5" s="10"/>
      <c r="O5" s="243" t="s">
        <v>29</v>
      </c>
      <c r="P5" s="243" t="s">
        <v>30</v>
      </c>
      <c r="Q5" s="243" t="s">
        <v>28</v>
      </c>
      <c r="R5" s="10"/>
      <c r="S5" s="243" t="s">
        <v>29</v>
      </c>
      <c r="T5" s="243" t="s">
        <v>30</v>
      </c>
      <c r="U5" s="243" t="s">
        <v>28</v>
      </c>
      <c r="V5" s="10"/>
      <c r="W5" s="243" t="s">
        <v>29</v>
      </c>
      <c r="X5" s="243" t="s">
        <v>30</v>
      </c>
      <c r="Y5" s="243" t="s">
        <v>28</v>
      </c>
      <c r="Z5" s="10"/>
      <c r="AA5" s="244" t="s">
        <v>89</v>
      </c>
      <c r="AB5" s="243" t="s">
        <v>28</v>
      </c>
      <c r="AC5" s="10"/>
      <c r="AD5" s="254"/>
      <c r="AE5" s="255"/>
      <c r="AF5" s="256"/>
      <c r="AG5" s="11"/>
      <c r="AH5" s="257" t="s">
        <v>32</v>
      </c>
      <c r="AI5" s="260" t="s">
        <v>33</v>
      </c>
      <c r="AJ5" s="241" t="s">
        <v>90</v>
      </c>
      <c r="AK5" s="259" t="s">
        <v>28</v>
      </c>
      <c r="AL5" s="10"/>
      <c r="AM5" s="255"/>
      <c r="AN5" s="255"/>
      <c r="AO5" s="10"/>
      <c r="AP5" s="241" t="s">
        <v>98</v>
      </c>
      <c r="AQ5" s="247" t="s">
        <v>99</v>
      </c>
      <c r="AR5" s="243" t="s">
        <v>28</v>
      </c>
      <c r="AS5" s="241" t="s">
        <v>35</v>
      </c>
      <c r="AT5" s="247" t="s">
        <v>33</v>
      </c>
      <c r="AU5" s="243" t="s">
        <v>28</v>
      </c>
      <c r="AV5" s="10"/>
      <c r="AW5" s="11"/>
      <c r="AX5" s="11"/>
      <c r="AY5" s="267"/>
      <c r="AZ5" s="270" t="s">
        <v>37</v>
      </c>
      <c r="BB5" s="241" t="s">
        <v>37</v>
      </c>
      <c r="BC5" s="144"/>
      <c r="BE5" s="241" t="s">
        <v>38</v>
      </c>
      <c r="BF5" s="144"/>
      <c r="BH5" s="10" t="s">
        <v>39</v>
      </c>
      <c r="BI5" s="10" t="s">
        <v>40</v>
      </c>
      <c r="BJ5" s="10" t="s">
        <v>41</v>
      </c>
      <c r="BK5" t="s">
        <v>10</v>
      </c>
      <c r="BM5" s="19"/>
      <c r="BN5" s="19"/>
    </row>
    <row r="6" spans="1:66" ht="32" x14ac:dyDescent="0.2">
      <c r="B6" s="1" t="s">
        <v>78</v>
      </c>
      <c r="C6" s="132" t="s">
        <v>78</v>
      </c>
      <c r="D6" s="1"/>
      <c r="E6" s="11"/>
      <c r="F6" s="257"/>
      <c r="G6" s="1"/>
      <c r="H6" s="24"/>
      <c r="I6" s="144"/>
      <c r="K6" s="258"/>
      <c r="L6" s="258"/>
      <c r="M6" s="259"/>
      <c r="N6" s="10"/>
      <c r="O6" s="243"/>
      <c r="P6" s="243"/>
      <c r="Q6" s="243"/>
      <c r="R6" s="10"/>
      <c r="S6" s="243"/>
      <c r="T6" s="243"/>
      <c r="U6" s="243"/>
      <c r="V6" s="10"/>
      <c r="W6" s="243"/>
      <c r="X6" s="243"/>
      <c r="Y6" s="243"/>
      <c r="Z6" s="10"/>
      <c r="AA6" s="244"/>
      <c r="AB6" s="243"/>
      <c r="AC6" s="10"/>
      <c r="AD6" s="24" t="s">
        <v>91</v>
      </c>
      <c r="AE6" s="120" t="s">
        <v>33</v>
      </c>
      <c r="AF6" s="10" t="s">
        <v>92</v>
      </c>
      <c r="AG6" s="11"/>
      <c r="AH6" s="257"/>
      <c r="AI6" s="260"/>
      <c r="AJ6" s="241"/>
      <c r="AK6" s="259"/>
      <c r="AL6" s="10"/>
      <c r="AM6" s="119" t="s">
        <v>33</v>
      </c>
      <c r="AN6" s="118" t="s">
        <v>28</v>
      </c>
      <c r="AO6" s="10"/>
      <c r="AP6" s="241"/>
      <c r="AQ6" s="247"/>
      <c r="AR6" s="243"/>
      <c r="AS6" s="241"/>
      <c r="AT6" s="247"/>
      <c r="AU6" s="243"/>
      <c r="AV6" s="10"/>
      <c r="AW6" s="11" t="s">
        <v>100</v>
      </c>
      <c r="AX6" s="11"/>
      <c r="AY6" s="267"/>
      <c r="AZ6" s="270"/>
      <c r="BB6" s="241"/>
      <c r="BC6" s="144"/>
      <c r="BE6" s="241"/>
      <c r="BF6" s="144"/>
      <c r="BH6" s="249" t="s">
        <v>43</v>
      </c>
      <c r="BI6" s="249"/>
      <c r="BJ6" s="249"/>
      <c r="BK6" s="249"/>
      <c r="BM6" s="19" t="s">
        <v>68</v>
      </c>
      <c r="BN6" s="19" t="s">
        <v>103</v>
      </c>
    </row>
    <row r="7" spans="1:66" x14ac:dyDescent="0.2">
      <c r="A7">
        <v>2021</v>
      </c>
      <c r="B7" s="52">
        <v>700</v>
      </c>
      <c r="C7" s="130">
        <f>IF(Mandarins!C9="Tonne",Mandarins!E9,Mandarins!E9*1000)</f>
        <v>700</v>
      </c>
      <c r="E7" s="16">
        <v>45</v>
      </c>
      <c r="F7" s="201">
        <f>IF(Mandarins!C9="Tonne",Mandarins!D9,Mandarins!D9/1000)</f>
        <v>45</v>
      </c>
      <c r="H7" s="20">
        <f t="shared" ref="H7:H41" si="0">+B7*E7</f>
        <v>31500</v>
      </c>
      <c r="I7" s="145">
        <f>C7*F7</f>
        <v>31500</v>
      </c>
      <c r="J7" s="53"/>
      <c r="K7" s="135">
        <f>Mandarins!D14</f>
        <v>25</v>
      </c>
      <c r="L7" s="135">
        <f>Mandarins!E14</f>
        <v>45.49</v>
      </c>
      <c r="M7" s="149">
        <f>+K7*L7</f>
        <v>1137.25</v>
      </c>
      <c r="O7" s="16">
        <v>6</v>
      </c>
      <c r="P7" s="4">
        <v>10.199999999999999</v>
      </c>
      <c r="Q7" s="6">
        <f>+O7*P7</f>
        <v>61.199999999999996</v>
      </c>
      <c r="S7" s="16">
        <v>49</v>
      </c>
      <c r="T7" s="4">
        <v>14.73</v>
      </c>
      <c r="U7" s="6">
        <f>+S7*T7</f>
        <v>721.77</v>
      </c>
      <c r="W7" s="5">
        <v>6</v>
      </c>
      <c r="X7" s="4">
        <v>60.41</v>
      </c>
      <c r="Y7" s="21">
        <f>+W7*X7</f>
        <v>362.46</v>
      </c>
      <c r="AA7" s="4">
        <v>25</v>
      </c>
      <c r="AB7" s="6">
        <f>+AA7*F7</f>
        <v>1125</v>
      </c>
      <c r="AD7" s="4">
        <v>60</v>
      </c>
      <c r="AE7" s="4">
        <v>35</v>
      </c>
      <c r="AF7" s="21">
        <f>+AD7*AE7</f>
        <v>2100</v>
      </c>
      <c r="AH7" s="132">
        <f>Mandarins!D15</f>
        <v>11</v>
      </c>
      <c r="AI7" s="135">
        <f>Mandarins!E15</f>
        <v>113</v>
      </c>
      <c r="AJ7" s="1">
        <v>300</v>
      </c>
      <c r="AK7" s="149">
        <f>+(AH7*AI7)+AJ7</f>
        <v>1543</v>
      </c>
      <c r="AM7" s="1">
        <f>40+38</f>
        <v>78</v>
      </c>
      <c r="AN7" s="21">
        <f>AM7*F7</f>
        <v>3510</v>
      </c>
      <c r="AP7" s="1">
        <v>5</v>
      </c>
      <c r="AQ7" s="4">
        <v>315.67</v>
      </c>
      <c r="AR7" s="21">
        <f>+AP7*AQ7</f>
        <v>1578.3500000000001</v>
      </c>
      <c r="AS7" s="1">
        <v>43.7</v>
      </c>
      <c r="AT7" s="1">
        <v>200</v>
      </c>
      <c r="AU7" s="21">
        <f>+AS7*AT7</f>
        <v>8740</v>
      </c>
      <c r="AW7" s="6">
        <f>4.55*F7</f>
        <v>204.75</v>
      </c>
      <c r="AY7" s="192" t="str">
        <f>IF(Mandarins!$D$17&lt;0,(+M7+Q7+U7+Y7+AB7+AF7+AK7+AN7+AR7+AU7+AW7)*Mandarins!$D$17/100,IF(Mandarins!$D$17&gt;0,(+M7+Q7+U7+Y7+AB7+AF7+AK7+AN7+AR7+AU7+AW7)*Mandarins!$D$17/100,""))</f>
        <v/>
      </c>
      <c r="AZ7" s="147">
        <f>+M7+Q7+U7+Y7+AB7+AF7+AK7+AN7+AR7+AU7+AW7+IF(AY7="",0,AY7)</f>
        <v>21083.78</v>
      </c>
      <c r="BB7" s="21">
        <f t="shared" ref="BB7:BB41" si="1">+H7-AZ7</f>
        <v>10416.220000000001</v>
      </c>
      <c r="BC7" s="147">
        <f t="shared" ref="BC7:BC41" si="2">I7-AZ7</f>
        <v>10416.220000000001</v>
      </c>
      <c r="BE7" s="6">
        <f t="shared" ref="BE7:BE41" si="3">+(M7+Q7+U7+Y7+AF7+AK7+AN7+AR7+AU7)/(B7-AA7)</f>
        <v>29.265229629629626</v>
      </c>
      <c r="BF7" s="149">
        <f>+(M7+Q7+U7+Y7+AF7+AK7+AN7+AR7+AU7+IF(AY7="",0,AY7))/(C7-AA7)</f>
        <v>29.265229629629626</v>
      </c>
      <c r="BH7" s="4">
        <v>128.4</v>
      </c>
      <c r="BI7" s="4">
        <v>141.80000000000001</v>
      </c>
      <c r="BJ7" s="4">
        <f>+(143.56+106.94)/2</f>
        <v>125.25</v>
      </c>
      <c r="BK7" s="4">
        <v>99.691915734713831</v>
      </c>
      <c r="BM7" s="121">
        <f t="shared" ref="BM7:BM41" si="4">B7/1000</f>
        <v>0.7</v>
      </c>
      <c r="BN7" s="121">
        <f t="shared" ref="BN7:BN41" si="5">C7/1000</f>
        <v>0.7</v>
      </c>
    </row>
    <row r="8" spans="1:66" x14ac:dyDescent="0.2">
      <c r="A8" s="8">
        <f t="shared" ref="A8:A41" si="6">+A7+1</f>
        <v>2022</v>
      </c>
      <c r="B8" s="22">
        <f t="shared" ref="B8:B41" si="7">+B7*BH8/BH7</f>
        <v>710.24922118380061</v>
      </c>
      <c r="C8" s="52">
        <f>+C7*BH8/BH7</f>
        <v>710.24922118380061</v>
      </c>
      <c r="E8" s="15">
        <f>E7*((E$21/E$7)^(1/($A$21-$A$7)))</f>
        <v>44.525201126258665</v>
      </c>
      <c r="F8" s="15">
        <f>F7</f>
        <v>45</v>
      </c>
      <c r="H8" s="22">
        <f t="shared" si="0"/>
        <v>31623.989422977298</v>
      </c>
      <c r="I8" s="20">
        <f t="shared" ref="I8:I41" si="8">C8*F8</f>
        <v>31961.214953271028</v>
      </c>
      <c r="K8" s="54">
        <f>+K7</f>
        <v>25</v>
      </c>
      <c r="L8" s="7">
        <f t="shared" ref="L8:L41" si="9">+L7*$BK8/$BK7</f>
        <v>45.241872727272721</v>
      </c>
      <c r="M8" s="7">
        <f t="shared" ref="M8:M41" si="10">+K8*L8</f>
        <v>1131.046818181818</v>
      </c>
      <c r="O8" s="15">
        <f>+O7</f>
        <v>6</v>
      </c>
      <c r="P8" s="7">
        <f t="shared" ref="P8:P41" si="11">+P7*$BK8/$BK7</f>
        <v>10.144363636363634</v>
      </c>
      <c r="Q8" s="7">
        <f t="shared" ref="Q8:Q41" si="12">+O8*P8</f>
        <v>60.866181818181801</v>
      </c>
      <c r="S8" s="15">
        <f>+S7</f>
        <v>49</v>
      </c>
      <c r="T8" s="7">
        <f t="shared" ref="T8:T41" si="13">+T7*$BK8/$BK7</f>
        <v>14.649654545454544</v>
      </c>
      <c r="U8" s="7">
        <f t="shared" ref="U8:U41" si="14">+S8*T8</f>
        <v>717.83307272727268</v>
      </c>
      <c r="W8" s="14">
        <f>+W7</f>
        <v>6</v>
      </c>
      <c r="X8" s="7">
        <f t="shared" ref="X8:X41" si="15">+X7*$BK8/$BK7</f>
        <v>60.080490909090891</v>
      </c>
      <c r="Y8" s="22">
        <f t="shared" ref="Y8:Y41" si="16">+W8*X8</f>
        <v>360.48294545454536</v>
      </c>
      <c r="AA8" s="7">
        <f t="shared" ref="AA8:AA41" si="17">+AA7*(0.5*$BI8/$BI7+0.5*$BJ8/$BJ7)</f>
        <v>25.8</v>
      </c>
      <c r="AB8" s="6">
        <f>+AA8*F8</f>
        <v>1161</v>
      </c>
      <c r="AD8" s="7">
        <f>+AD7</f>
        <v>60</v>
      </c>
      <c r="AE8" s="7">
        <f t="shared" ref="AE8:AE41" si="18">+AE7*(0.5*$BI8/$BI7+0.5*$BJ8/$BJ7)</f>
        <v>36.120000000000005</v>
      </c>
      <c r="AF8" s="22">
        <f t="shared" ref="AF8:AF41" si="19">+AD8*AE8</f>
        <v>2167.2000000000003</v>
      </c>
      <c r="AH8" s="15">
        <f>+AH7</f>
        <v>11</v>
      </c>
      <c r="AI8" s="7">
        <f t="shared" ref="AI8:AI41" si="20">+AI7*BH8/BH7</f>
        <v>114.65451713395638</v>
      </c>
      <c r="AJ8" s="7">
        <f t="shared" ref="AJ8:AJ41" si="21">+AJ7*BH8/BH7</f>
        <v>304.39252336448595</v>
      </c>
      <c r="AK8" s="7">
        <f>(+AH8*AI8)+AJ8</f>
        <v>1565.5922118380061</v>
      </c>
      <c r="AM8" s="7">
        <f t="shared" ref="AM8:AM41" si="22">+AM7*$BI8/$BI7</f>
        <v>80.495999999999995</v>
      </c>
      <c r="AN8" s="21">
        <f t="shared" ref="AN8:AN41" si="23">AM8*F8</f>
        <v>3622.3199999999997</v>
      </c>
      <c r="AP8" s="7">
        <f>+AP7</f>
        <v>5</v>
      </c>
      <c r="AQ8" s="7">
        <f t="shared" ref="AQ8:AQ41" si="24">+AQ7*$BI8/$BI7</f>
        <v>325.77144000000004</v>
      </c>
      <c r="AR8" s="22">
        <f>+AP8*AQ8</f>
        <v>1628.8572000000001</v>
      </c>
      <c r="AS8" s="7">
        <f>+AS7</f>
        <v>43.7</v>
      </c>
      <c r="AT8" s="7">
        <f t="shared" ref="AT8:AT41" si="25">+AT7*$BI8/$BI7</f>
        <v>206.39999999999998</v>
      </c>
      <c r="AU8" s="22">
        <f>+AS8*AT8</f>
        <v>9019.68</v>
      </c>
      <c r="AW8" s="6">
        <f t="shared" ref="AW8:AW41" si="26">4.55*F8</f>
        <v>204.75</v>
      </c>
      <c r="AY8" t="str">
        <f>IF(Mandarins!$D$17&lt;0,(+M8+Q8+U8+Y8+AB8+AF8+AK8+AN8+AR8+AU8+AW8)*Mandarins!$D$17/100,IF(Mandarins!$D$17&gt;0,(+M8+Q8+U8+Y8+AB8+AF8+AK8+AN8+AR8+AU8+AW8)*Mandarins!$D$17/100,""))</f>
        <v/>
      </c>
      <c r="AZ8" s="22">
        <f>+M8+Q8+U8+Y8+AB8+AF8+AK8+AN8+AR8+AU8+AW8+IF(AY8="",0,AY8)</f>
        <v>21639.628430019824</v>
      </c>
      <c r="BB8" s="22">
        <f t="shared" si="1"/>
        <v>9984.3609929574741</v>
      </c>
      <c r="BC8" s="21">
        <f t="shared" si="2"/>
        <v>10321.586523251204</v>
      </c>
      <c r="BE8" s="6">
        <f t="shared" si="3"/>
        <v>29.620719554556285</v>
      </c>
      <c r="BF8" s="6">
        <f t="shared" ref="BF8:BF41" si="27">+(M8+Q8+U8+Y8+AF8+AK8+AN8+AR8+AU8)/(C8-AA8)</f>
        <v>29.620719554556285</v>
      </c>
      <c r="BH8" s="7">
        <v>130.28</v>
      </c>
      <c r="BI8" s="7">
        <f>+BI7+(BI7*0.032)</f>
        <v>146.33760000000001</v>
      </c>
      <c r="BJ8" s="7">
        <f>+BJ7+(BJ7*0.032)</f>
        <v>129.25800000000001</v>
      </c>
      <c r="BK8" s="7">
        <v>99.1481416488881</v>
      </c>
      <c r="BM8" s="121">
        <f t="shared" si="4"/>
        <v>0.71024922118380063</v>
      </c>
      <c r="BN8" s="121">
        <f t="shared" si="5"/>
        <v>0.71024922118380063</v>
      </c>
    </row>
    <row r="9" spans="1:66" x14ac:dyDescent="0.2">
      <c r="A9" s="8">
        <f t="shared" si="6"/>
        <v>2023</v>
      </c>
      <c r="B9" s="22">
        <f t="shared" si="7"/>
        <v>735.10903426791276</v>
      </c>
      <c r="C9" s="52">
        <f t="shared" ref="C9:C41" si="28">+C8*BH9/BH8</f>
        <v>735.10903426791276</v>
      </c>
      <c r="E9" s="15">
        <f t="shared" ref="E9:E20" si="29">E8*((E$21/E$7)^(1/($A$21-$A$7)))</f>
        <v>44.055411896306353</v>
      </c>
      <c r="F9" s="15">
        <f t="shared" ref="F9:F41" si="30">F8</f>
        <v>45</v>
      </c>
      <c r="H9" s="22">
        <f t="shared" si="0"/>
        <v>32385.53129336888</v>
      </c>
      <c r="I9" s="20">
        <f t="shared" si="8"/>
        <v>33079.906542056073</v>
      </c>
      <c r="K9" s="54">
        <f t="shared" ref="K9:K41" si="31">+K8</f>
        <v>25</v>
      </c>
      <c r="L9" s="7">
        <f t="shared" si="9"/>
        <v>45.744231994922515</v>
      </c>
      <c r="M9" s="7">
        <f t="shared" si="10"/>
        <v>1143.6057998730628</v>
      </c>
      <c r="O9" s="15">
        <f t="shared" ref="O9:O41" si="32">+O8</f>
        <v>6</v>
      </c>
      <c r="P9" s="7">
        <f t="shared" si="11"/>
        <v>10.257005195608038</v>
      </c>
      <c r="Q9" s="7">
        <f t="shared" si="12"/>
        <v>61.542031173648226</v>
      </c>
      <c r="S9" s="15">
        <f t="shared" ref="S9:S41" si="33">+S8</f>
        <v>49</v>
      </c>
      <c r="T9" s="7">
        <f t="shared" si="13"/>
        <v>14.812322208951612</v>
      </c>
      <c r="U9" s="7">
        <f t="shared" si="14"/>
        <v>725.80378823862895</v>
      </c>
      <c r="W9" s="14">
        <f t="shared" ref="W9:W41" si="34">+W8</f>
        <v>6</v>
      </c>
      <c r="X9" s="7">
        <f t="shared" si="15"/>
        <v>60.74761606536093</v>
      </c>
      <c r="Y9" s="22">
        <f t="shared" si="16"/>
        <v>364.48569639216555</v>
      </c>
      <c r="AA9" s="7">
        <f t="shared" si="17"/>
        <v>26.625600000000002</v>
      </c>
      <c r="AB9" s="6">
        <f t="shared" ref="AB9:AB41" si="35">+AA9*F9</f>
        <v>1198.152</v>
      </c>
      <c r="AD9" s="7">
        <f t="shared" ref="AD9:AD41" si="36">+AD8</f>
        <v>60</v>
      </c>
      <c r="AE9" s="7">
        <f t="shared" si="18"/>
        <v>37.275840000000002</v>
      </c>
      <c r="AF9" s="22">
        <f t="shared" si="19"/>
        <v>2236.5504000000001</v>
      </c>
      <c r="AH9" s="15">
        <f t="shared" ref="AH9:AH41" si="37">+AH8</f>
        <v>11</v>
      </c>
      <c r="AI9" s="7">
        <f t="shared" si="20"/>
        <v>118.66760124610592</v>
      </c>
      <c r="AJ9" s="7">
        <f t="shared" si="21"/>
        <v>315.04672897196258</v>
      </c>
      <c r="AK9" s="7">
        <f t="shared" ref="AK9:AK41" si="38">(+AH9*AI9)+AJ9</f>
        <v>1620.3903426791276</v>
      </c>
      <c r="AM9" s="7">
        <f t="shared" si="22"/>
        <v>83.071871999999999</v>
      </c>
      <c r="AN9" s="21">
        <f t="shared" si="23"/>
        <v>3738.2342399999998</v>
      </c>
      <c r="AP9" s="7">
        <f t="shared" ref="AP9:AP41" si="39">+AP8</f>
        <v>5</v>
      </c>
      <c r="AQ9" s="7">
        <f t="shared" si="24"/>
        <v>336.19612608</v>
      </c>
      <c r="AR9" s="22">
        <f t="shared" ref="AR9:AR41" si="40">+AP9*AQ9</f>
        <v>1680.9806303999999</v>
      </c>
      <c r="AS9" s="7">
        <f t="shared" ref="AS9:AS41" si="41">+AS8</f>
        <v>43.7</v>
      </c>
      <c r="AT9" s="7">
        <f t="shared" si="25"/>
        <v>213.00479999999996</v>
      </c>
      <c r="AU9" s="22">
        <f t="shared" ref="AU9:AU41" si="42">+AS9*AT9</f>
        <v>9308.3097599999983</v>
      </c>
      <c r="AW9" s="6">
        <f t="shared" si="26"/>
        <v>204.75</v>
      </c>
      <c r="AY9" t="str">
        <f>IF(Mandarins!$D$17&lt;0,(+M9+Q9+U9+Y9+AB9+AF9+AK9+AN9+AR9+AU9+AW9)*Mandarins!$D$17/100,IF(Mandarins!$D$17&gt;0,(+M9+Q9+U9+Y9+AB9+AF9+AK9+AN9+AR9+AU9+AW9)*Mandarins!$D$17/100,""))</f>
        <v/>
      </c>
      <c r="AZ9" s="22">
        <f t="shared" ref="AZ9:AZ41" si="43">+M9+Q9+U9+Y9+AB9+AF9+AK9+AN9+AR9+AU9+AW9+IF(AY9="",0,AY9)</f>
        <v>22282.804688756631</v>
      </c>
      <c r="BB9" s="22">
        <f t="shared" si="1"/>
        <v>10102.72660461225</v>
      </c>
      <c r="BC9" s="21">
        <f t="shared" si="2"/>
        <v>10797.101853299442</v>
      </c>
      <c r="BE9" s="6">
        <f t="shared" si="3"/>
        <v>29.471264505051082</v>
      </c>
      <c r="BF9" s="6">
        <f t="shared" si="27"/>
        <v>29.471264505051082</v>
      </c>
      <c r="BH9" s="7">
        <v>134.84</v>
      </c>
      <c r="BI9" s="7">
        <f t="shared" ref="BI9:BJ24" si="44">+BI8+(BI8*0.032)</f>
        <v>151.0204032</v>
      </c>
      <c r="BJ9" s="7">
        <f t="shared" si="44"/>
        <v>133.39425600000001</v>
      </c>
      <c r="BK9" s="7">
        <v>100.24906839716456</v>
      </c>
      <c r="BM9" s="121">
        <f t="shared" si="4"/>
        <v>0.73510903426791274</v>
      </c>
      <c r="BN9" s="121">
        <f t="shared" si="5"/>
        <v>0.73510903426791274</v>
      </c>
    </row>
    <row r="10" spans="1:66" x14ac:dyDescent="0.2">
      <c r="A10" s="8">
        <f t="shared" si="6"/>
        <v>2024</v>
      </c>
      <c r="B10" s="22">
        <f t="shared" si="7"/>
        <v>753.48130841121497</v>
      </c>
      <c r="C10" s="52">
        <f t="shared" si="28"/>
        <v>753.48130841121497</v>
      </c>
      <c r="E10" s="15">
        <f t="shared" si="29"/>
        <v>43.590579452960199</v>
      </c>
      <c r="F10" s="15">
        <f t="shared" si="30"/>
        <v>45</v>
      </c>
      <c r="H10" s="22">
        <f t="shared" si="0"/>
        <v>32844.686840619477</v>
      </c>
      <c r="I10" s="20">
        <f t="shared" si="8"/>
        <v>33906.658878504677</v>
      </c>
      <c r="K10" s="54">
        <f t="shared" si="31"/>
        <v>25</v>
      </c>
      <c r="L10" s="7">
        <f t="shared" si="9"/>
        <v>47.114537295720687</v>
      </c>
      <c r="M10" s="7">
        <f t="shared" si="10"/>
        <v>1177.8634323930171</v>
      </c>
      <c r="O10" s="15">
        <f t="shared" si="32"/>
        <v>6</v>
      </c>
      <c r="P10" s="7">
        <f t="shared" si="11"/>
        <v>10.564262044764805</v>
      </c>
      <c r="Q10" s="7">
        <f t="shared" si="12"/>
        <v>63.385572268588831</v>
      </c>
      <c r="S10" s="15">
        <f t="shared" si="33"/>
        <v>49</v>
      </c>
      <c r="T10" s="7">
        <f t="shared" si="13"/>
        <v>15.256037246998588</v>
      </c>
      <c r="U10" s="7">
        <f t="shared" si="14"/>
        <v>747.54582510293085</v>
      </c>
      <c r="W10" s="14">
        <f t="shared" si="34"/>
        <v>6</v>
      </c>
      <c r="X10" s="7">
        <f t="shared" si="15"/>
        <v>62.567359816102126</v>
      </c>
      <c r="Y10" s="22">
        <f t="shared" si="16"/>
        <v>375.40415889661278</v>
      </c>
      <c r="AA10" s="7">
        <f t="shared" si="17"/>
        <v>27.477619200000003</v>
      </c>
      <c r="AB10" s="6">
        <f t="shared" si="35"/>
        <v>1236.4928640000001</v>
      </c>
      <c r="AD10" s="7">
        <f t="shared" si="36"/>
        <v>60</v>
      </c>
      <c r="AE10" s="7">
        <f t="shared" si="18"/>
        <v>38.468666880000001</v>
      </c>
      <c r="AF10" s="22">
        <f t="shared" si="19"/>
        <v>2308.1200128</v>
      </c>
      <c r="AH10" s="15">
        <f t="shared" si="37"/>
        <v>11</v>
      </c>
      <c r="AI10" s="7">
        <f t="shared" si="20"/>
        <v>121.63341121495328</v>
      </c>
      <c r="AJ10" s="7">
        <f t="shared" si="21"/>
        <v>322.9205607476635</v>
      </c>
      <c r="AK10" s="7">
        <f t="shared" si="38"/>
        <v>1660.8880841121497</v>
      </c>
      <c r="AM10" s="7">
        <f t="shared" si="22"/>
        <v>85.730171904000002</v>
      </c>
      <c r="AN10" s="21">
        <f t="shared" si="23"/>
        <v>3857.8577356800001</v>
      </c>
      <c r="AP10" s="7">
        <f t="shared" si="39"/>
        <v>5</v>
      </c>
      <c r="AQ10" s="7">
        <f t="shared" si="24"/>
        <v>346.95440211456003</v>
      </c>
      <c r="AR10" s="22">
        <f t="shared" si="40"/>
        <v>1734.7720105728001</v>
      </c>
      <c r="AS10" s="7">
        <f t="shared" si="41"/>
        <v>43.7</v>
      </c>
      <c r="AT10" s="7">
        <f t="shared" si="25"/>
        <v>219.8209536</v>
      </c>
      <c r="AU10" s="22">
        <f t="shared" si="42"/>
        <v>9606.1756723199996</v>
      </c>
      <c r="AW10" s="6">
        <f t="shared" si="26"/>
        <v>204.75</v>
      </c>
      <c r="AY10" t="str">
        <f>IF(Mandarins!$D$17&lt;0,(+M10+Q10+U10+Y10+AB10+AF10+AK10+AN10+AR10+AU10+AW10)*Mandarins!$D$17/100,IF(Mandarins!$D$17&gt;0,(+M10+Q10+U10+Y10+AB10+AF10+AK10+AN10+AR10+AU10+AW10)*Mandarins!$D$17/100,""))</f>
        <v/>
      </c>
      <c r="AZ10" s="22">
        <f t="shared" si="43"/>
        <v>22973.255368146099</v>
      </c>
      <c r="BB10" s="22">
        <f t="shared" si="1"/>
        <v>9871.4314724733777</v>
      </c>
      <c r="BC10" s="21">
        <f t="shared" si="2"/>
        <v>10933.403510358577</v>
      </c>
      <c r="BE10" s="6">
        <f t="shared" si="3"/>
        <v>29.658268716981453</v>
      </c>
      <c r="BF10" s="6">
        <f t="shared" si="27"/>
        <v>29.658268716981453</v>
      </c>
      <c r="BH10" s="7">
        <v>138.21</v>
      </c>
      <c r="BI10" s="7">
        <f t="shared" si="44"/>
        <v>155.85305610240002</v>
      </c>
      <c r="BJ10" s="7">
        <f t="shared" si="44"/>
        <v>137.66287219200001</v>
      </c>
      <c r="BK10" s="7">
        <v>103.25210995746359</v>
      </c>
      <c r="BM10" s="121">
        <f t="shared" si="4"/>
        <v>0.75348130841121497</v>
      </c>
      <c r="BN10" s="121">
        <f t="shared" si="5"/>
        <v>0.75348130841121497</v>
      </c>
    </row>
    <row r="11" spans="1:66" x14ac:dyDescent="0.2">
      <c r="A11" s="8">
        <f t="shared" si="6"/>
        <v>2025</v>
      </c>
      <c r="B11" s="22">
        <f t="shared" si="7"/>
        <v>777.59271028037381</v>
      </c>
      <c r="C11" s="52">
        <f t="shared" si="28"/>
        <v>777.59271028037381</v>
      </c>
      <c r="E11" s="15">
        <f t="shared" si="29"/>
        <v>43.130651496738025</v>
      </c>
      <c r="F11" s="15">
        <f t="shared" si="30"/>
        <v>45</v>
      </c>
      <c r="H11" s="22">
        <f t="shared" si="0"/>
        <v>33538.080193506779</v>
      </c>
      <c r="I11" s="20">
        <f t="shared" si="8"/>
        <v>34991.67196261682</v>
      </c>
      <c r="K11" s="54">
        <f t="shared" si="31"/>
        <v>25</v>
      </c>
      <c r="L11" s="7">
        <f t="shared" si="9"/>
        <v>48.299487429195842</v>
      </c>
      <c r="M11" s="7">
        <f t="shared" si="10"/>
        <v>1207.4871857298961</v>
      </c>
      <c r="O11" s="15">
        <f t="shared" si="32"/>
        <v>6</v>
      </c>
      <c r="P11" s="7">
        <f t="shared" si="11"/>
        <v>10.829957612174049</v>
      </c>
      <c r="Q11" s="7">
        <f t="shared" si="12"/>
        <v>64.979745673044292</v>
      </c>
      <c r="S11" s="15">
        <f t="shared" si="33"/>
        <v>49</v>
      </c>
      <c r="T11" s="7">
        <f t="shared" si="13"/>
        <v>15.639732904639589</v>
      </c>
      <c r="U11" s="7">
        <f t="shared" si="14"/>
        <v>766.34691232733985</v>
      </c>
      <c r="W11" s="14">
        <f t="shared" si="34"/>
        <v>6</v>
      </c>
      <c r="X11" s="7">
        <f t="shared" si="15"/>
        <v>64.140954838375905</v>
      </c>
      <c r="Y11" s="22">
        <f t="shared" si="16"/>
        <v>384.84572903025543</v>
      </c>
      <c r="AA11" s="7">
        <f t="shared" si="17"/>
        <v>28.356903014400004</v>
      </c>
      <c r="AB11" s="6">
        <f t="shared" si="35"/>
        <v>1276.0606356480002</v>
      </c>
      <c r="AD11" s="7">
        <f t="shared" si="36"/>
        <v>60</v>
      </c>
      <c r="AE11" s="7">
        <f t="shared" si="18"/>
        <v>39.699664220160003</v>
      </c>
      <c r="AF11" s="22">
        <f t="shared" si="19"/>
        <v>2381.9798532096002</v>
      </c>
      <c r="AH11" s="15">
        <f t="shared" si="37"/>
        <v>11</v>
      </c>
      <c r="AI11" s="7">
        <f t="shared" si="20"/>
        <v>125.52568037383178</v>
      </c>
      <c r="AJ11" s="7">
        <f t="shared" si="21"/>
        <v>333.25401869158873</v>
      </c>
      <c r="AK11" s="7">
        <f t="shared" si="38"/>
        <v>1714.0365028037384</v>
      </c>
      <c r="AM11" s="7">
        <f t="shared" si="22"/>
        <v>88.473537404927995</v>
      </c>
      <c r="AN11" s="21">
        <f t="shared" si="23"/>
        <v>3981.3091832217597</v>
      </c>
      <c r="AP11" s="7">
        <f t="shared" si="39"/>
        <v>5</v>
      </c>
      <c r="AQ11" s="7">
        <f t="shared" si="24"/>
        <v>358.05694298222591</v>
      </c>
      <c r="AR11" s="22">
        <f t="shared" si="40"/>
        <v>1790.2847149111294</v>
      </c>
      <c r="AS11" s="7">
        <f t="shared" si="41"/>
        <v>43.7</v>
      </c>
      <c r="AT11" s="7">
        <f t="shared" si="25"/>
        <v>226.85522411519997</v>
      </c>
      <c r="AU11" s="22">
        <f t="shared" si="42"/>
        <v>9913.5732938342389</v>
      </c>
      <c r="AW11" s="6">
        <f t="shared" si="26"/>
        <v>204.75</v>
      </c>
      <c r="AY11" t="str">
        <f>IF(Mandarins!$D$17&lt;0,(+M11+Q11+U11+Y11+AB11+AF11+AK11+AN11+AR11+AU11+AW11)*Mandarins!$D$17/100,IF(Mandarins!$D$17&gt;0,(+M11+Q11+U11+Y11+AB11+AF11+AK11+AN11+AR11+AU11+AW11)*Mandarins!$D$17/100,""))</f>
        <v/>
      </c>
      <c r="AZ11" s="22">
        <f t="shared" si="43"/>
        <v>23685.653756389002</v>
      </c>
      <c r="BB11" s="22">
        <f t="shared" si="1"/>
        <v>9852.4264371177778</v>
      </c>
      <c r="BC11" s="21">
        <f t="shared" si="2"/>
        <v>11306.018206227818</v>
      </c>
      <c r="BE11" s="6">
        <f t="shared" si="3"/>
        <v>29.636654982852988</v>
      </c>
      <c r="BF11" s="6">
        <f t="shared" si="27"/>
        <v>29.636654982852988</v>
      </c>
      <c r="BH11" s="7">
        <f t="shared" ref="BH11:BJ26" si="45">+BH10+(BH10*0.032)</f>
        <v>142.63272000000001</v>
      </c>
      <c r="BI11" s="7">
        <f t="shared" si="44"/>
        <v>160.84035389767681</v>
      </c>
      <c r="BJ11" s="7">
        <f t="shared" si="44"/>
        <v>142.06808410214401</v>
      </c>
      <c r="BK11" s="7">
        <v>105.84894330229197</v>
      </c>
      <c r="BM11" s="121">
        <f t="shared" si="4"/>
        <v>0.7775927102803738</v>
      </c>
      <c r="BN11" s="121">
        <f t="shared" si="5"/>
        <v>0.7775927102803738</v>
      </c>
    </row>
    <row r="12" spans="1:66" x14ac:dyDescent="0.2">
      <c r="A12" s="8">
        <f t="shared" si="6"/>
        <v>2026</v>
      </c>
      <c r="B12" s="22">
        <f t="shared" si="7"/>
        <v>802.47567700934576</v>
      </c>
      <c r="C12" s="52">
        <f t="shared" si="28"/>
        <v>802.47567700934576</v>
      </c>
      <c r="E12" s="15">
        <f t="shared" si="29"/>
        <v>42.675576279973995</v>
      </c>
      <c r="F12" s="15">
        <f t="shared" si="30"/>
        <v>45</v>
      </c>
      <c r="H12" s="22">
        <f t="shared" si="0"/>
        <v>34246.111967036108</v>
      </c>
      <c r="I12" s="20">
        <f t="shared" si="8"/>
        <v>36111.405465420561</v>
      </c>
      <c r="K12" s="54">
        <f t="shared" si="31"/>
        <v>25</v>
      </c>
      <c r="L12" s="7">
        <f t="shared" si="9"/>
        <v>50.330538658111635</v>
      </c>
      <c r="M12" s="7">
        <f t="shared" si="10"/>
        <v>1258.2634664527909</v>
      </c>
      <c r="O12" s="15">
        <f t="shared" si="32"/>
        <v>6</v>
      </c>
      <c r="P12" s="7">
        <f t="shared" si="11"/>
        <v>11.285370286057125</v>
      </c>
      <c r="Q12" s="7">
        <f t="shared" si="12"/>
        <v>67.712221716342754</v>
      </c>
      <c r="S12" s="15">
        <f t="shared" si="33"/>
        <v>49</v>
      </c>
      <c r="T12" s="7">
        <f t="shared" si="13"/>
        <v>16.297402383688382</v>
      </c>
      <c r="U12" s="7">
        <f t="shared" si="14"/>
        <v>798.57271680073075</v>
      </c>
      <c r="W12" s="14">
        <f t="shared" si="34"/>
        <v>6</v>
      </c>
      <c r="X12" s="7">
        <f t="shared" si="15"/>
        <v>66.838158723599093</v>
      </c>
      <c r="Y12" s="22">
        <f t="shared" si="16"/>
        <v>401.02895234159456</v>
      </c>
      <c r="AA12" s="7">
        <f t="shared" si="17"/>
        <v>29.264323910860806</v>
      </c>
      <c r="AB12" s="6">
        <f t="shared" si="35"/>
        <v>1316.8945759887363</v>
      </c>
      <c r="AD12" s="7">
        <f t="shared" si="36"/>
        <v>60</v>
      </c>
      <c r="AE12" s="7">
        <f t="shared" si="18"/>
        <v>40.970053475205127</v>
      </c>
      <c r="AF12" s="22">
        <f t="shared" si="19"/>
        <v>2458.2032085123078</v>
      </c>
      <c r="AH12" s="15">
        <f t="shared" si="37"/>
        <v>11</v>
      </c>
      <c r="AI12" s="7">
        <f t="shared" si="20"/>
        <v>129.5425021457944</v>
      </c>
      <c r="AJ12" s="7">
        <f t="shared" si="21"/>
        <v>343.91814728971957</v>
      </c>
      <c r="AK12" s="7">
        <f t="shared" si="38"/>
        <v>1768.8856708934579</v>
      </c>
      <c r="AM12" s="7">
        <f t="shared" si="22"/>
        <v>91.304690601885682</v>
      </c>
      <c r="AN12" s="21">
        <f t="shared" si="23"/>
        <v>4108.7110770848558</v>
      </c>
      <c r="AP12" s="7">
        <f t="shared" si="39"/>
        <v>5</v>
      </c>
      <c r="AQ12" s="7">
        <f t="shared" si="24"/>
        <v>369.51476515765711</v>
      </c>
      <c r="AR12" s="22">
        <f t="shared" si="40"/>
        <v>1847.5738257882856</v>
      </c>
      <c r="AS12" s="7">
        <f t="shared" si="41"/>
        <v>43.7</v>
      </c>
      <c r="AT12" s="7">
        <f t="shared" si="25"/>
        <v>234.11459128688637</v>
      </c>
      <c r="AU12" s="22">
        <f t="shared" si="42"/>
        <v>10230.807639236935</v>
      </c>
      <c r="AW12" s="6">
        <f t="shared" si="26"/>
        <v>204.75</v>
      </c>
      <c r="AY12" t="str">
        <f>IF(Mandarins!$D$17&lt;0,(+M12+Q12+U12+Y12+AB12+AF12+AK12+AN12+AR12+AU12+AW12)*Mandarins!$D$17/100,IF(Mandarins!$D$17&gt;0,(+M12+Q12+U12+Y12+AB12+AF12+AK12+AN12+AR12+AU12+AW12)*Mandarins!$D$17/100,""))</f>
        <v/>
      </c>
      <c r="AZ12" s="22">
        <f t="shared" si="43"/>
        <v>24461.403354816037</v>
      </c>
      <c r="BB12" s="22">
        <f t="shared" si="1"/>
        <v>9784.7086122200708</v>
      </c>
      <c r="BC12" s="21">
        <f t="shared" si="2"/>
        <v>11650.002110604524</v>
      </c>
      <c r="BE12" s="6">
        <f t="shared" si="3"/>
        <v>29.668160829378603</v>
      </c>
      <c r="BF12" s="6">
        <f t="shared" si="27"/>
        <v>29.668160829378603</v>
      </c>
      <c r="BH12" s="7">
        <f t="shared" si="45"/>
        <v>147.19696704</v>
      </c>
      <c r="BI12" s="7">
        <f t="shared" si="44"/>
        <v>165.98724522240246</v>
      </c>
      <c r="BJ12" s="7">
        <f t="shared" si="44"/>
        <v>146.61426279341262</v>
      </c>
      <c r="BK12" s="7">
        <v>110.30001799927945</v>
      </c>
      <c r="BM12" s="121">
        <f t="shared" si="4"/>
        <v>0.80247567700934574</v>
      </c>
      <c r="BN12" s="121">
        <f t="shared" si="5"/>
        <v>0.80247567700934574</v>
      </c>
    </row>
    <row r="13" spans="1:66" x14ac:dyDescent="0.2">
      <c r="A13" s="8">
        <f t="shared" si="6"/>
        <v>2027</v>
      </c>
      <c r="B13" s="22">
        <f t="shared" si="7"/>
        <v>828.15489867364488</v>
      </c>
      <c r="C13" s="52">
        <f t="shared" si="28"/>
        <v>828.15489867364488</v>
      </c>
      <c r="E13" s="15">
        <f t="shared" si="29"/>
        <v>42.225302600996351</v>
      </c>
      <c r="F13" s="15">
        <f t="shared" si="30"/>
        <v>45</v>
      </c>
      <c r="H13" s="22">
        <f t="shared" si="0"/>
        <v>34969.091196992129</v>
      </c>
      <c r="I13" s="20">
        <f t="shared" si="8"/>
        <v>37266.97044031402</v>
      </c>
      <c r="K13" s="54">
        <f t="shared" si="31"/>
        <v>25</v>
      </c>
      <c r="L13" s="7">
        <f t="shared" si="9"/>
        <v>52.446538034588372</v>
      </c>
      <c r="M13" s="7">
        <f t="shared" si="10"/>
        <v>1311.1634508647094</v>
      </c>
      <c r="O13" s="15">
        <f t="shared" si="32"/>
        <v>6</v>
      </c>
      <c r="P13" s="7">
        <f t="shared" si="11"/>
        <v>11.759830467197217</v>
      </c>
      <c r="Q13" s="7">
        <f t="shared" si="12"/>
        <v>70.558982803183298</v>
      </c>
      <c r="S13" s="15">
        <f t="shared" si="33"/>
        <v>49</v>
      </c>
      <c r="T13" s="7">
        <f t="shared" si="13"/>
        <v>16.982578704099513</v>
      </c>
      <c r="U13" s="7">
        <f t="shared" si="14"/>
        <v>832.1463565008761</v>
      </c>
      <c r="W13" s="14">
        <f t="shared" si="34"/>
        <v>6</v>
      </c>
      <c r="X13" s="7">
        <f t="shared" si="15"/>
        <v>69.648172404253302</v>
      </c>
      <c r="Y13" s="22">
        <f t="shared" si="16"/>
        <v>417.88903442551981</v>
      </c>
      <c r="AA13" s="7">
        <f t="shared" si="17"/>
        <v>30.200782276008354</v>
      </c>
      <c r="AB13" s="6">
        <f t="shared" si="35"/>
        <v>1359.035202420376</v>
      </c>
      <c r="AD13" s="7">
        <f t="shared" si="36"/>
        <v>60</v>
      </c>
      <c r="AE13" s="7">
        <f t="shared" si="18"/>
        <v>42.28109518641169</v>
      </c>
      <c r="AF13" s="22">
        <f t="shared" si="19"/>
        <v>2536.8657111847015</v>
      </c>
      <c r="AH13" s="15">
        <f t="shared" si="37"/>
        <v>11</v>
      </c>
      <c r="AI13" s="7">
        <f t="shared" si="20"/>
        <v>133.68786221445981</v>
      </c>
      <c r="AJ13" s="7">
        <f t="shared" si="21"/>
        <v>354.92352800299062</v>
      </c>
      <c r="AK13" s="7">
        <f t="shared" si="38"/>
        <v>1825.4900123620487</v>
      </c>
      <c r="AM13" s="7">
        <f t="shared" si="22"/>
        <v>94.226440701146032</v>
      </c>
      <c r="AN13" s="21">
        <f t="shared" si="23"/>
        <v>4240.1898315515718</v>
      </c>
      <c r="AP13" s="7">
        <f t="shared" si="39"/>
        <v>5</v>
      </c>
      <c r="AQ13" s="7">
        <f t="shared" si="24"/>
        <v>381.33923764270219</v>
      </c>
      <c r="AR13" s="22">
        <f t="shared" si="40"/>
        <v>1906.696188213511</v>
      </c>
      <c r="AS13" s="7">
        <f t="shared" si="41"/>
        <v>43.7</v>
      </c>
      <c r="AT13" s="7">
        <f t="shared" si="25"/>
        <v>241.60625820806675</v>
      </c>
      <c r="AU13" s="22">
        <f t="shared" si="42"/>
        <v>10558.193483692517</v>
      </c>
      <c r="AW13" s="6">
        <f t="shared" si="26"/>
        <v>204.75</v>
      </c>
      <c r="AY13" t="str">
        <f>IF(Mandarins!$D$17&lt;0,(+M13+Q13+U13+Y13+AB13+AF13+AK13+AN13+AR13+AU13+AW13)*Mandarins!$D$17/100,IF(Mandarins!$D$17&gt;0,(+M13+Q13+U13+Y13+AB13+AF13+AK13+AN13+AR13+AU13+AW13)*Mandarins!$D$17/100,""))</f>
        <v/>
      </c>
      <c r="AZ13" s="22">
        <f t="shared" si="43"/>
        <v>25262.978254019014</v>
      </c>
      <c r="BB13" s="22">
        <f t="shared" si="1"/>
        <v>9706.1129429731154</v>
      </c>
      <c r="BC13" s="21">
        <f t="shared" si="2"/>
        <v>12003.992186295007</v>
      </c>
      <c r="BE13" s="6">
        <f t="shared" si="3"/>
        <v>29.699944601562599</v>
      </c>
      <c r="BF13" s="6">
        <f t="shared" si="27"/>
        <v>29.699944601562599</v>
      </c>
      <c r="BH13" s="7">
        <f t="shared" si="45"/>
        <v>151.90726998528001</v>
      </c>
      <c r="BI13" s="7">
        <f t="shared" si="44"/>
        <v>171.29883706951935</v>
      </c>
      <c r="BJ13" s="7">
        <f t="shared" si="44"/>
        <v>151.30591920280182</v>
      </c>
      <c r="BK13" s="7">
        <v>114.93725764611229</v>
      </c>
      <c r="BM13" s="121">
        <f t="shared" si="4"/>
        <v>0.82815489867364489</v>
      </c>
      <c r="BN13" s="121">
        <f t="shared" si="5"/>
        <v>0.82815489867364489</v>
      </c>
    </row>
    <row r="14" spans="1:66" x14ac:dyDescent="0.2">
      <c r="A14" s="8">
        <f t="shared" si="6"/>
        <v>2028</v>
      </c>
      <c r="B14" s="22">
        <f t="shared" si="7"/>
        <v>854.65585543120153</v>
      </c>
      <c r="C14" s="52">
        <f t="shared" si="28"/>
        <v>854.65585543120153</v>
      </c>
      <c r="E14" s="15">
        <f t="shared" si="29"/>
        <v>41.779779798366569</v>
      </c>
      <c r="F14" s="15">
        <f t="shared" si="30"/>
        <v>45</v>
      </c>
      <c r="H14" s="22">
        <f t="shared" si="0"/>
        <v>35707.333443300209</v>
      </c>
      <c r="I14" s="20">
        <f t="shared" si="8"/>
        <v>38459.513494404069</v>
      </c>
      <c r="K14" s="54">
        <f t="shared" si="31"/>
        <v>25</v>
      </c>
      <c r="L14" s="7">
        <f t="shared" si="9"/>
        <v>54.463254084507078</v>
      </c>
      <c r="M14" s="7">
        <f t="shared" si="10"/>
        <v>1361.581352112677</v>
      </c>
      <c r="O14" s="15">
        <f t="shared" si="32"/>
        <v>6</v>
      </c>
      <c r="P14" s="7">
        <f t="shared" si="11"/>
        <v>12.212028834072811</v>
      </c>
      <c r="Q14" s="7">
        <f t="shared" si="12"/>
        <v>73.272173004436866</v>
      </c>
      <c r="S14" s="15">
        <f t="shared" si="33"/>
        <v>49</v>
      </c>
      <c r="T14" s="7">
        <f t="shared" si="13"/>
        <v>17.63560634567574</v>
      </c>
      <c r="U14" s="7">
        <f t="shared" si="14"/>
        <v>864.1447109381113</v>
      </c>
      <c r="W14" s="14">
        <f t="shared" si="34"/>
        <v>6</v>
      </c>
      <c r="X14" s="7">
        <f t="shared" si="15"/>
        <v>72.326339398660608</v>
      </c>
      <c r="Y14" s="22">
        <f t="shared" si="16"/>
        <v>433.95803639196367</v>
      </c>
      <c r="AA14" s="7">
        <f t="shared" si="17"/>
        <v>31.167207308840624</v>
      </c>
      <c r="AB14" s="6">
        <f t="shared" si="35"/>
        <v>1402.5243288978281</v>
      </c>
      <c r="AD14" s="7">
        <f t="shared" si="36"/>
        <v>60</v>
      </c>
      <c r="AE14" s="7">
        <f t="shared" si="18"/>
        <v>43.634090232376863</v>
      </c>
      <c r="AF14" s="22">
        <f t="shared" si="19"/>
        <v>2618.045413942612</v>
      </c>
      <c r="AH14" s="15">
        <f t="shared" si="37"/>
        <v>11</v>
      </c>
      <c r="AI14" s="7">
        <f t="shared" si="20"/>
        <v>137.96587380532253</v>
      </c>
      <c r="AJ14" s="7">
        <f t="shared" si="21"/>
        <v>366.28108089908631</v>
      </c>
      <c r="AK14" s="7">
        <f t="shared" si="38"/>
        <v>1883.9056927576339</v>
      </c>
      <c r="AM14" s="7">
        <f t="shared" si="22"/>
        <v>97.241686803582724</v>
      </c>
      <c r="AN14" s="21">
        <f t="shared" si="23"/>
        <v>4375.8759061612227</v>
      </c>
      <c r="AP14" s="7">
        <f t="shared" si="39"/>
        <v>5</v>
      </c>
      <c r="AQ14" s="7">
        <f t="shared" si="24"/>
        <v>393.54209324726872</v>
      </c>
      <c r="AR14" s="22">
        <f t="shared" si="40"/>
        <v>1967.7104662363436</v>
      </c>
      <c r="AS14" s="7">
        <f t="shared" si="41"/>
        <v>43.7</v>
      </c>
      <c r="AT14" s="7">
        <f t="shared" si="25"/>
        <v>249.33765847072488</v>
      </c>
      <c r="AU14" s="22">
        <f t="shared" si="42"/>
        <v>10896.055675170677</v>
      </c>
      <c r="AW14" s="6">
        <f t="shared" si="26"/>
        <v>204.75</v>
      </c>
      <c r="AY14" t="str">
        <f>IF(Mandarins!$D$17&lt;0,(+M14+Q14+U14+Y14+AB14+AF14+AK14+AN14+AR14+AU14+AW14)*Mandarins!$D$17/100,IF(Mandarins!$D$17&gt;0,(+M14+Q14+U14+Y14+AB14+AF14+AK14+AN14+AR14+AU14+AW14)*Mandarins!$D$17/100,""))</f>
        <v/>
      </c>
      <c r="AZ14" s="22">
        <f t="shared" si="43"/>
        <v>26081.823755613506</v>
      </c>
      <c r="BB14" s="22">
        <f t="shared" si="1"/>
        <v>9625.5096876867028</v>
      </c>
      <c r="BC14" s="21">
        <f t="shared" si="2"/>
        <v>12377.689738790563</v>
      </c>
      <c r="BE14" s="6">
        <f t="shared" si="3"/>
        <v>29.72056686211786</v>
      </c>
      <c r="BF14" s="6">
        <f t="shared" si="27"/>
        <v>29.72056686211786</v>
      </c>
      <c r="BH14" s="7">
        <f t="shared" si="45"/>
        <v>156.76830262480897</v>
      </c>
      <c r="BI14" s="7">
        <f t="shared" si="44"/>
        <v>176.78039985574398</v>
      </c>
      <c r="BJ14" s="7">
        <f t="shared" si="44"/>
        <v>156.14770861729147</v>
      </c>
      <c r="BK14" s="7">
        <v>119.35691661532179</v>
      </c>
      <c r="BM14" s="121">
        <f t="shared" si="4"/>
        <v>0.85465585543120148</v>
      </c>
      <c r="BN14" s="121">
        <f t="shared" si="5"/>
        <v>0.85465585543120148</v>
      </c>
    </row>
    <row r="15" spans="1:66" x14ac:dyDescent="0.2">
      <c r="A15" s="8">
        <f t="shared" si="6"/>
        <v>2029</v>
      </c>
      <c r="B15" s="22">
        <f t="shared" si="7"/>
        <v>882.00484280499995</v>
      </c>
      <c r="C15" s="52">
        <f t="shared" si="28"/>
        <v>882.00484280499995</v>
      </c>
      <c r="E15" s="15">
        <f t="shared" si="29"/>
        <v>41.338957745179336</v>
      </c>
      <c r="F15" s="15">
        <f t="shared" si="30"/>
        <v>45</v>
      </c>
      <c r="H15" s="22">
        <f t="shared" si="0"/>
        <v>36461.160927759433</v>
      </c>
      <c r="I15" s="20">
        <f t="shared" si="8"/>
        <v>39690.217926224999</v>
      </c>
      <c r="K15" s="54">
        <f t="shared" si="31"/>
        <v>25</v>
      </c>
      <c r="L15" s="7">
        <f t="shared" si="9"/>
        <v>55.519070122930579</v>
      </c>
      <c r="M15" s="7">
        <f t="shared" si="10"/>
        <v>1387.9767530732645</v>
      </c>
      <c r="O15" s="15">
        <f t="shared" si="32"/>
        <v>6</v>
      </c>
      <c r="P15" s="7">
        <f t="shared" si="11"/>
        <v>12.448769295535104</v>
      </c>
      <c r="Q15" s="7">
        <f t="shared" si="12"/>
        <v>74.692615773210633</v>
      </c>
      <c r="S15" s="15">
        <f t="shared" si="33"/>
        <v>49</v>
      </c>
      <c r="T15" s="7">
        <f t="shared" si="13"/>
        <v>17.977487423846288</v>
      </c>
      <c r="U15" s="7">
        <f t="shared" si="14"/>
        <v>880.89688376846811</v>
      </c>
      <c r="W15" s="14">
        <f t="shared" si="34"/>
        <v>6</v>
      </c>
      <c r="X15" s="7">
        <f t="shared" si="15"/>
        <v>73.728446386595621</v>
      </c>
      <c r="Y15" s="22">
        <f t="shared" si="16"/>
        <v>442.3706783195737</v>
      </c>
      <c r="AA15" s="7">
        <f t="shared" si="17"/>
        <v>32.164557942723526</v>
      </c>
      <c r="AB15" s="6">
        <f t="shared" si="35"/>
        <v>1447.4051074225588</v>
      </c>
      <c r="AD15" s="7">
        <f t="shared" si="36"/>
        <v>60</v>
      </c>
      <c r="AE15" s="7">
        <f t="shared" si="18"/>
        <v>45.030381119812922</v>
      </c>
      <c r="AF15" s="22">
        <f t="shared" si="19"/>
        <v>2701.8228671887755</v>
      </c>
      <c r="AH15" s="15">
        <f t="shared" si="37"/>
        <v>11</v>
      </c>
      <c r="AI15" s="7">
        <f t="shared" si="20"/>
        <v>142.38078176709288</v>
      </c>
      <c r="AJ15" s="7">
        <f t="shared" si="21"/>
        <v>378.00207548785704</v>
      </c>
      <c r="AK15" s="7">
        <f t="shared" si="38"/>
        <v>1944.1906749258787</v>
      </c>
      <c r="AM15" s="7">
        <f t="shared" si="22"/>
        <v>100.35342078129736</v>
      </c>
      <c r="AN15" s="21">
        <f t="shared" si="23"/>
        <v>4515.9039351583815</v>
      </c>
      <c r="AP15" s="7">
        <f t="shared" si="39"/>
        <v>5</v>
      </c>
      <c r="AQ15" s="7">
        <f t="shared" si="24"/>
        <v>406.13544023118129</v>
      </c>
      <c r="AR15" s="22">
        <f t="shared" si="40"/>
        <v>2030.6772011559065</v>
      </c>
      <c r="AS15" s="7">
        <f t="shared" si="41"/>
        <v>43.7</v>
      </c>
      <c r="AT15" s="7">
        <f t="shared" si="25"/>
        <v>257.3164635417881</v>
      </c>
      <c r="AU15" s="22">
        <f t="shared" si="42"/>
        <v>11244.72945677614</v>
      </c>
      <c r="AW15" s="6">
        <f t="shared" si="26"/>
        <v>204.75</v>
      </c>
      <c r="AY15" t="str">
        <f>IF(Mandarins!$D$17&lt;0,(+M15+Q15+U15+Y15+AB15+AF15+AK15+AN15+AR15+AU15+AW15)*Mandarins!$D$17/100,IF(Mandarins!$D$17&gt;0,(+M15+Q15+U15+Y15+AB15+AF15+AK15+AN15+AR15+AU15+AW15)*Mandarins!$D$17/100,""))</f>
        <v/>
      </c>
      <c r="AZ15" s="22">
        <f t="shared" si="43"/>
        <v>26875.41617356216</v>
      </c>
      <c r="BB15" s="22">
        <f t="shared" si="1"/>
        <v>9585.7447541972724</v>
      </c>
      <c r="BC15" s="21">
        <f t="shared" si="2"/>
        <v>12814.801752662839</v>
      </c>
      <c r="BE15" s="6">
        <f t="shared" si="3"/>
        <v>29.680001660814696</v>
      </c>
      <c r="BF15" s="6">
        <f t="shared" si="27"/>
        <v>29.680001660814696</v>
      </c>
      <c r="BH15" s="7">
        <f t="shared" si="45"/>
        <v>161.78488830880286</v>
      </c>
      <c r="BI15" s="7">
        <f t="shared" si="44"/>
        <v>182.43737265112779</v>
      </c>
      <c r="BJ15" s="7">
        <f t="shared" si="44"/>
        <v>161.14443529304481</v>
      </c>
      <c r="BK15" s="7">
        <v>121.670750942292</v>
      </c>
      <c r="BM15" s="121">
        <f t="shared" si="4"/>
        <v>0.88200484280499991</v>
      </c>
      <c r="BN15" s="121">
        <f t="shared" si="5"/>
        <v>0.88200484280499991</v>
      </c>
    </row>
    <row r="16" spans="1:66" x14ac:dyDescent="0.2">
      <c r="A16" s="8">
        <f t="shared" si="6"/>
        <v>2030</v>
      </c>
      <c r="B16" s="22">
        <f t="shared" si="7"/>
        <v>910.22899777475993</v>
      </c>
      <c r="C16" s="52">
        <f t="shared" si="28"/>
        <v>910.22899777475993</v>
      </c>
      <c r="E16" s="15">
        <f t="shared" si="29"/>
        <v>40.902786843422625</v>
      </c>
      <c r="F16" s="15">
        <f t="shared" si="30"/>
        <v>45</v>
      </c>
      <c r="H16" s="22">
        <f t="shared" si="0"/>
        <v>37230.90267468321</v>
      </c>
      <c r="I16" s="20">
        <f t="shared" si="8"/>
        <v>40960.304899864197</v>
      </c>
      <c r="K16" s="54">
        <f t="shared" si="31"/>
        <v>25</v>
      </c>
      <c r="L16" s="7">
        <f t="shared" si="9"/>
        <v>56.578069787813057</v>
      </c>
      <c r="M16" s="7">
        <f t="shared" si="10"/>
        <v>1414.4517446953264</v>
      </c>
      <c r="O16" s="15">
        <f t="shared" si="32"/>
        <v>6</v>
      </c>
      <c r="P16" s="7">
        <f t="shared" si="11"/>
        <v>12.686223605972593</v>
      </c>
      <c r="Q16" s="7">
        <f t="shared" si="12"/>
        <v>76.117341635835558</v>
      </c>
      <c r="S16" s="15">
        <f t="shared" si="33"/>
        <v>49</v>
      </c>
      <c r="T16" s="7">
        <f t="shared" si="13"/>
        <v>18.320399383919248</v>
      </c>
      <c r="U16" s="7">
        <f t="shared" si="14"/>
        <v>897.69956981204314</v>
      </c>
      <c r="W16" s="14">
        <f t="shared" si="34"/>
        <v>6</v>
      </c>
      <c r="X16" s="7">
        <f t="shared" si="15"/>
        <v>75.134781180078818</v>
      </c>
      <c r="Y16" s="22">
        <f t="shared" si="16"/>
        <v>450.80868708047291</v>
      </c>
      <c r="AA16" s="7">
        <f t="shared" si="17"/>
        <v>33.193823796890683</v>
      </c>
      <c r="AB16" s="6">
        <f t="shared" si="35"/>
        <v>1493.7220708600807</v>
      </c>
      <c r="AD16" s="7">
        <f t="shared" si="36"/>
        <v>60</v>
      </c>
      <c r="AE16" s="7">
        <f t="shared" si="18"/>
        <v>46.471353315646937</v>
      </c>
      <c r="AF16" s="22">
        <f t="shared" si="19"/>
        <v>2788.281198938816</v>
      </c>
      <c r="AH16" s="15">
        <f t="shared" si="37"/>
        <v>11</v>
      </c>
      <c r="AI16" s="7">
        <f t="shared" si="20"/>
        <v>146.93696678363983</v>
      </c>
      <c r="AJ16" s="7">
        <f t="shared" si="21"/>
        <v>390.09814190346844</v>
      </c>
      <c r="AK16" s="7">
        <f t="shared" si="38"/>
        <v>2006.4047765235064</v>
      </c>
      <c r="AM16" s="7">
        <f t="shared" si="22"/>
        <v>103.56473024629889</v>
      </c>
      <c r="AN16" s="21">
        <f t="shared" si="23"/>
        <v>4660.4128610834505</v>
      </c>
      <c r="AP16" s="7">
        <f t="shared" si="39"/>
        <v>5</v>
      </c>
      <c r="AQ16" s="7">
        <f t="shared" si="24"/>
        <v>419.13177431857906</v>
      </c>
      <c r="AR16" s="22">
        <f t="shared" si="40"/>
        <v>2095.6588715928951</v>
      </c>
      <c r="AS16" s="7">
        <f t="shared" si="41"/>
        <v>43.7</v>
      </c>
      <c r="AT16" s="7">
        <f t="shared" si="25"/>
        <v>265.5505903751253</v>
      </c>
      <c r="AU16" s="22">
        <f t="shared" si="42"/>
        <v>11604.560799392977</v>
      </c>
      <c r="AW16" s="6">
        <f t="shared" si="26"/>
        <v>204.75</v>
      </c>
      <c r="AY16" t="str">
        <f>IF(Mandarins!$D$17&lt;0,(+M16+Q16+U16+Y16+AB16+AF16+AK16+AN16+AR16+AU16+AW16)*Mandarins!$D$17/100,IF(Mandarins!$D$17&gt;0,(+M16+Q16+U16+Y16+AB16+AF16+AK16+AN16+AR16+AU16+AW16)*Mandarins!$D$17/100,""))</f>
        <v/>
      </c>
      <c r="AZ16" s="22">
        <f t="shared" si="43"/>
        <v>27692.867921615405</v>
      </c>
      <c r="BB16" s="22">
        <f t="shared" si="1"/>
        <v>9538.0347530678046</v>
      </c>
      <c r="BC16" s="21">
        <f t="shared" si="2"/>
        <v>13267.436978248792</v>
      </c>
      <c r="BE16" s="6">
        <f t="shared" si="3"/>
        <v>29.638943365128085</v>
      </c>
      <c r="BF16" s="6">
        <f t="shared" si="27"/>
        <v>29.638943365128085</v>
      </c>
      <c r="BH16" s="7">
        <f t="shared" si="45"/>
        <v>166.96200473468454</v>
      </c>
      <c r="BI16" s="7">
        <f t="shared" si="44"/>
        <v>188.27536857596388</v>
      </c>
      <c r="BJ16" s="7">
        <f t="shared" si="44"/>
        <v>166.30105722242223</v>
      </c>
      <c r="BK16" s="7">
        <v>123.9915622272899</v>
      </c>
      <c r="BM16" s="121">
        <f t="shared" si="4"/>
        <v>0.91022899777475996</v>
      </c>
      <c r="BN16" s="121">
        <f t="shared" si="5"/>
        <v>0.91022899777475996</v>
      </c>
    </row>
    <row r="17" spans="1:66" x14ac:dyDescent="0.2">
      <c r="A17" s="8">
        <f t="shared" si="6"/>
        <v>2031</v>
      </c>
      <c r="B17" s="22">
        <f t="shared" si="7"/>
        <v>939.35632570355222</v>
      </c>
      <c r="C17" s="52">
        <f t="shared" si="28"/>
        <v>939.35632570355222</v>
      </c>
      <c r="E17" s="15">
        <f t="shared" si="29"/>
        <v>40.471218018397316</v>
      </c>
      <c r="F17" s="15">
        <f t="shared" si="30"/>
        <v>45</v>
      </c>
      <c r="H17" s="22">
        <f t="shared" si="0"/>
        <v>38016.894654509102</v>
      </c>
      <c r="I17" s="20">
        <f t="shared" si="8"/>
        <v>42271.034656659853</v>
      </c>
      <c r="K17" s="54">
        <f t="shared" si="31"/>
        <v>25</v>
      </c>
      <c r="L17" s="7">
        <f t="shared" si="9"/>
        <v>56.877922901194445</v>
      </c>
      <c r="M17" s="7">
        <f t="shared" si="10"/>
        <v>1421.9480725298611</v>
      </c>
      <c r="O17" s="15">
        <f t="shared" si="32"/>
        <v>6</v>
      </c>
      <c r="P17" s="7">
        <f t="shared" si="11"/>
        <v>12.753458201630762</v>
      </c>
      <c r="Q17" s="7">
        <f t="shared" si="12"/>
        <v>76.520749209784569</v>
      </c>
      <c r="S17" s="15">
        <f t="shared" si="33"/>
        <v>49</v>
      </c>
      <c r="T17" s="7">
        <f t="shared" si="13"/>
        <v>18.417494050002073</v>
      </c>
      <c r="U17" s="7">
        <f t="shared" si="14"/>
        <v>902.45720845010158</v>
      </c>
      <c r="W17" s="14">
        <f t="shared" si="34"/>
        <v>6</v>
      </c>
      <c r="X17" s="7">
        <f t="shared" si="15"/>
        <v>75.532981368677838</v>
      </c>
      <c r="Y17" s="22">
        <f t="shared" si="16"/>
        <v>453.19788821206703</v>
      </c>
      <c r="AA17" s="7">
        <f t="shared" si="17"/>
        <v>34.256026158391187</v>
      </c>
      <c r="AB17" s="6">
        <f t="shared" si="35"/>
        <v>1541.5211771276033</v>
      </c>
      <c r="AD17" s="7">
        <f t="shared" si="36"/>
        <v>60</v>
      </c>
      <c r="AE17" s="7">
        <f t="shared" si="18"/>
        <v>47.958436621747637</v>
      </c>
      <c r="AF17" s="22">
        <f t="shared" si="19"/>
        <v>2877.5061973048582</v>
      </c>
      <c r="AH17" s="15">
        <f t="shared" si="37"/>
        <v>11</v>
      </c>
      <c r="AI17" s="7">
        <f t="shared" si="20"/>
        <v>151.63894972071631</v>
      </c>
      <c r="AJ17" s="7">
        <f t="shared" si="21"/>
        <v>402.58128244437938</v>
      </c>
      <c r="AK17" s="7">
        <f t="shared" si="38"/>
        <v>2070.6097293722587</v>
      </c>
      <c r="AM17" s="7">
        <f t="shared" si="22"/>
        <v>106.87880161418045</v>
      </c>
      <c r="AN17" s="21">
        <f t="shared" si="23"/>
        <v>4809.5460726381198</v>
      </c>
      <c r="AP17" s="7">
        <f t="shared" si="39"/>
        <v>5</v>
      </c>
      <c r="AQ17" s="7">
        <f t="shared" si="24"/>
        <v>432.5439910967736</v>
      </c>
      <c r="AR17" s="22">
        <f t="shared" si="40"/>
        <v>2162.719955483868</v>
      </c>
      <c r="AS17" s="7">
        <f t="shared" si="41"/>
        <v>43.7</v>
      </c>
      <c r="AT17" s="7">
        <f t="shared" si="25"/>
        <v>274.04820926712932</v>
      </c>
      <c r="AU17" s="22">
        <f t="shared" si="42"/>
        <v>11975.906744973552</v>
      </c>
      <c r="AW17" s="6">
        <f t="shared" si="26"/>
        <v>204.75</v>
      </c>
      <c r="AY17" t="str">
        <f>IF(Mandarins!$D$17&lt;0,(+M17+Q17+U17+Y17+AB17+AF17+AK17+AN17+AR17+AU17+AW17)*Mandarins!$D$17/100,IF(Mandarins!$D$17&gt;0,(+M17+Q17+U17+Y17+AB17+AF17+AK17+AN17+AR17+AU17+AW17)*Mandarins!$D$17/100,""))</f>
        <v/>
      </c>
      <c r="AZ17" s="22">
        <f t="shared" si="43"/>
        <v>28496.683795302073</v>
      </c>
      <c r="BB17" s="22">
        <f t="shared" si="1"/>
        <v>9520.210859207029</v>
      </c>
      <c r="BC17" s="21">
        <f t="shared" si="2"/>
        <v>13774.35086135778</v>
      </c>
      <c r="BE17" s="6">
        <f t="shared" si="3"/>
        <v>29.555191431952153</v>
      </c>
      <c r="BF17" s="6">
        <f t="shared" si="27"/>
        <v>29.555191431952153</v>
      </c>
      <c r="BH17" s="7">
        <f t="shared" si="45"/>
        <v>172.30478888619444</v>
      </c>
      <c r="BI17" s="7">
        <f t="shared" si="44"/>
        <v>194.30018037039471</v>
      </c>
      <c r="BJ17" s="7">
        <f t="shared" si="44"/>
        <v>171.62269105353974</v>
      </c>
      <c r="BK17" s="7">
        <v>124.64869415325184</v>
      </c>
      <c r="BM17" s="121">
        <f t="shared" si="4"/>
        <v>0.93935632570355221</v>
      </c>
      <c r="BN17" s="121">
        <f t="shared" si="5"/>
        <v>0.93935632570355221</v>
      </c>
    </row>
    <row r="18" spans="1:66" x14ac:dyDescent="0.2">
      <c r="A18" s="8">
        <f t="shared" si="6"/>
        <v>2032</v>
      </c>
      <c r="B18" s="22">
        <f t="shared" si="7"/>
        <v>969.41572812606591</v>
      </c>
      <c r="C18" s="52">
        <f t="shared" si="28"/>
        <v>969.41572812606591</v>
      </c>
      <c r="E18" s="15">
        <f t="shared" si="29"/>
        <v>40.044202713195645</v>
      </c>
      <c r="F18" s="15">
        <f t="shared" si="30"/>
        <v>45</v>
      </c>
      <c r="H18" s="22">
        <f t="shared" si="0"/>
        <v>38819.479930440342</v>
      </c>
      <c r="I18" s="20">
        <f t="shared" si="8"/>
        <v>43623.707765672967</v>
      </c>
      <c r="K18" s="54">
        <f t="shared" si="31"/>
        <v>25</v>
      </c>
      <c r="L18" s="7">
        <f t="shared" si="9"/>
        <v>57.085113195634136</v>
      </c>
      <c r="M18" s="7">
        <f t="shared" si="10"/>
        <v>1427.1278298908535</v>
      </c>
      <c r="O18" s="15">
        <f t="shared" si="32"/>
        <v>6</v>
      </c>
      <c r="P18" s="7">
        <f t="shared" si="11"/>
        <v>12.799915467036014</v>
      </c>
      <c r="Q18" s="7">
        <f t="shared" si="12"/>
        <v>76.799492802216079</v>
      </c>
      <c r="S18" s="15">
        <f t="shared" si="33"/>
        <v>49</v>
      </c>
      <c r="T18" s="7">
        <f t="shared" si="13"/>
        <v>18.48458380680789</v>
      </c>
      <c r="U18" s="7">
        <f t="shared" si="14"/>
        <v>905.74460653358665</v>
      </c>
      <c r="W18" s="14">
        <f t="shared" si="34"/>
        <v>6</v>
      </c>
      <c r="X18" s="7">
        <f t="shared" si="15"/>
        <v>75.808126800357371</v>
      </c>
      <c r="Y18" s="22">
        <f t="shared" si="16"/>
        <v>454.84876080214423</v>
      </c>
      <c r="AA18" s="7">
        <f t="shared" si="17"/>
        <v>35.352218995459708</v>
      </c>
      <c r="AB18" s="6">
        <f t="shared" si="35"/>
        <v>1590.849854795687</v>
      </c>
      <c r="AD18" s="7">
        <f t="shared" si="36"/>
        <v>60</v>
      </c>
      <c r="AE18" s="7">
        <f t="shared" si="18"/>
        <v>49.49310659364356</v>
      </c>
      <c r="AF18" s="22">
        <f t="shared" si="19"/>
        <v>2969.5863956186136</v>
      </c>
      <c r="AH18" s="15">
        <f t="shared" si="37"/>
        <v>11</v>
      </c>
      <c r="AI18" s="7">
        <f t="shared" si="20"/>
        <v>156.49139611177921</v>
      </c>
      <c r="AJ18" s="7">
        <f t="shared" si="21"/>
        <v>415.4638834825995</v>
      </c>
      <c r="AK18" s="7">
        <f t="shared" si="38"/>
        <v>2136.8692407121707</v>
      </c>
      <c r="AM18" s="7">
        <f t="shared" si="22"/>
        <v>110.29892326583422</v>
      </c>
      <c r="AN18" s="21">
        <f t="shared" si="23"/>
        <v>4963.4515469625403</v>
      </c>
      <c r="AP18" s="7">
        <f t="shared" si="39"/>
        <v>5</v>
      </c>
      <c r="AQ18" s="7">
        <f t="shared" si="24"/>
        <v>446.38539881187035</v>
      </c>
      <c r="AR18" s="22">
        <f t="shared" si="40"/>
        <v>2231.9269940593517</v>
      </c>
      <c r="AS18" s="7">
        <f t="shared" si="41"/>
        <v>43.7</v>
      </c>
      <c r="AT18" s="7">
        <f t="shared" si="25"/>
        <v>282.81775196367744</v>
      </c>
      <c r="AU18" s="22">
        <f t="shared" si="42"/>
        <v>12359.135760812705</v>
      </c>
      <c r="AW18" s="6">
        <f t="shared" si="26"/>
        <v>204.75</v>
      </c>
      <c r="AY18" t="str">
        <f>IF(Mandarins!$D$17&lt;0,(+M18+Q18+U18+Y18+AB18+AF18+AK18+AN18+AR18+AU18+AW18)*Mandarins!$D$17/100,IF(Mandarins!$D$17&gt;0,(+M18+Q18+U18+Y18+AB18+AF18+AK18+AN18+AR18+AU18+AW18)*Mandarins!$D$17/100,""))</f>
        <v/>
      </c>
      <c r="AZ18" s="22">
        <f t="shared" si="43"/>
        <v>29321.090482989872</v>
      </c>
      <c r="BB18" s="22">
        <f t="shared" si="1"/>
        <v>9498.3894474504705</v>
      </c>
      <c r="BC18" s="21">
        <f t="shared" si="2"/>
        <v>14302.617282683095</v>
      </c>
      <c r="BE18" s="6">
        <f t="shared" si="3"/>
        <v>29.468542940740665</v>
      </c>
      <c r="BF18" s="6">
        <f t="shared" si="27"/>
        <v>29.468542940740665</v>
      </c>
      <c r="BH18" s="7">
        <f t="shared" si="45"/>
        <v>177.81854213055266</v>
      </c>
      <c r="BI18" s="7">
        <f t="shared" si="44"/>
        <v>200.51778614224733</v>
      </c>
      <c r="BJ18" s="7">
        <f t="shared" si="44"/>
        <v>177.11461716725302</v>
      </c>
      <c r="BK18" s="7">
        <v>125.10275432855042</v>
      </c>
      <c r="BM18" s="121">
        <f t="shared" si="4"/>
        <v>0.96941572812606591</v>
      </c>
      <c r="BN18" s="121">
        <f t="shared" si="5"/>
        <v>0.96941572812606591</v>
      </c>
    </row>
    <row r="19" spans="1:66" x14ac:dyDescent="0.2">
      <c r="A19" s="8">
        <f t="shared" si="6"/>
        <v>2033</v>
      </c>
      <c r="B19" s="22">
        <f t="shared" si="7"/>
        <v>1000.4370314260999</v>
      </c>
      <c r="C19" s="52">
        <f t="shared" si="28"/>
        <v>1000.4370314260999</v>
      </c>
      <c r="E19" s="15">
        <f t="shared" si="29"/>
        <v>39.621692883237976</v>
      </c>
      <c r="F19" s="15">
        <f t="shared" si="30"/>
        <v>45</v>
      </c>
      <c r="H19" s="22">
        <f t="shared" si="0"/>
        <v>39639.008808183229</v>
      </c>
      <c r="I19" s="20">
        <f t="shared" si="8"/>
        <v>45019.666414174499</v>
      </c>
      <c r="K19" s="54">
        <f t="shared" si="31"/>
        <v>25</v>
      </c>
      <c r="L19" s="7">
        <f t="shared" si="9"/>
        <v>56.920796486719084</v>
      </c>
      <c r="M19" s="7">
        <f t="shared" si="10"/>
        <v>1423.0199121679771</v>
      </c>
      <c r="O19" s="15">
        <f t="shared" si="32"/>
        <v>6</v>
      </c>
      <c r="P19" s="7">
        <f t="shared" si="11"/>
        <v>12.763071535821823</v>
      </c>
      <c r="Q19" s="7">
        <f t="shared" si="12"/>
        <v>76.578429214930935</v>
      </c>
      <c r="S19" s="15">
        <f t="shared" si="33"/>
        <v>49</v>
      </c>
      <c r="T19" s="7">
        <f t="shared" si="13"/>
        <v>18.431376835554456</v>
      </c>
      <c r="U19" s="7">
        <f t="shared" si="14"/>
        <v>903.13746494216832</v>
      </c>
      <c r="W19" s="14">
        <f t="shared" si="34"/>
        <v>6</v>
      </c>
      <c r="X19" s="7">
        <f t="shared" si="15"/>
        <v>75.589916811666257</v>
      </c>
      <c r="Y19" s="22">
        <f t="shared" si="16"/>
        <v>453.53950086999754</v>
      </c>
      <c r="AA19" s="7">
        <f t="shared" si="17"/>
        <v>36.483490003314422</v>
      </c>
      <c r="AB19" s="6">
        <f t="shared" si="35"/>
        <v>1641.7570501491491</v>
      </c>
      <c r="AD19" s="7">
        <f t="shared" si="36"/>
        <v>60</v>
      </c>
      <c r="AE19" s="7">
        <f t="shared" si="18"/>
        <v>51.076886004640158</v>
      </c>
      <c r="AF19" s="22">
        <f t="shared" si="19"/>
        <v>3064.6131602784094</v>
      </c>
      <c r="AH19" s="15">
        <f t="shared" si="37"/>
        <v>11</v>
      </c>
      <c r="AI19" s="7">
        <f t="shared" si="20"/>
        <v>161.49912078735613</v>
      </c>
      <c r="AJ19" s="7">
        <f t="shared" si="21"/>
        <v>428.7587277540427</v>
      </c>
      <c r="AK19" s="7">
        <f t="shared" si="38"/>
        <v>2205.2490564149603</v>
      </c>
      <c r="AM19" s="7">
        <f t="shared" si="22"/>
        <v>113.8284888103409</v>
      </c>
      <c r="AN19" s="21">
        <f t="shared" si="23"/>
        <v>5122.2819964653409</v>
      </c>
      <c r="AP19" s="7">
        <f t="shared" si="39"/>
        <v>5</v>
      </c>
      <c r="AQ19" s="7">
        <f t="shared" si="24"/>
        <v>460.66973157385013</v>
      </c>
      <c r="AR19" s="22">
        <f t="shared" si="40"/>
        <v>2303.3486578692505</v>
      </c>
      <c r="AS19" s="7">
        <f t="shared" si="41"/>
        <v>43.7</v>
      </c>
      <c r="AT19" s="7">
        <f t="shared" si="25"/>
        <v>291.86792002651509</v>
      </c>
      <c r="AU19" s="22">
        <f t="shared" si="42"/>
        <v>12754.62810515871</v>
      </c>
      <c r="AW19" s="6">
        <f t="shared" si="26"/>
        <v>204.75</v>
      </c>
      <c r="AY19" t="str">
        <f>IF(Mandarins!$D$17&lt;0,(+M19+Q19+U19+Y19+AB19+AF19+AK19+AN19+AR19+AU19+AW19)*Mandarins!$D$17/100,IF(Mandarins!$D$17&gt;0,(+M19+Q19+U19+Y19+AB19+AF19+AK19+AN19+AR19+AU19+AW19)*Mandarins!$D$17/100,""))</f>
        <v/>
      </c>
      <c r="AZ19" s="22">
        <f t="shared" si="43"/>
        <v>30152.903333530896</v>
      </c>
      <c r="BB19" s="22">
        <f t="shared" si="1"/>
        <v>9486.1054746523332</v>
      </c>
      <c r="BC19" s="21">
        <f t="shared" si="2"/>
        <v>14866.763080643603</v>
      </c>
      <c r="BE19" s="6">
        <f t="shared" si="3"/>
        <v>29.364896820236581</v>
      </c>
      <c r="BF19" s="6">
        <f t="shared" si="27"/>
        <v>29.364896820236581</v>
      </c>
      <c r="BH19" s="7">
        <f t="shared" si="45"/>
        <v>183.50873547873033</v>
      </c>
      <c r="BI19" s="7">
        <f t="shared" si="44"/>
        <v>206.93435529879923</v>
      </c>
      <c r="BJ19" s="7">
        <f t="shared" si="44"/>
        <v>182.78228491660511</v>
      </c>
      <c r="BK19" s="7">
        <v>124.74265216326211</v>
      </c>
      <c r="BM19" s="121">
        <f t="shared" si="4"/>
        <v>1.0004370314261</v>
      </c>
      <c r="BN19" s="121">
        <f t="shared" si="5"/>
        <v>1.0004370314261</v>
      </c>
    </row>
    <row r="20" spans="1:66" x14ac:dyDescent="0.2">
      <c r="A20" s="8">
        <f t="shared" si="6"/>
        <v>2034</v>
      </c>
      <c r="B20" s="22">
        <f t="shared" si="7"/>
        <v>1032.4510164317351</v>
      </c>
      <c r="C20" s="52">
        <f t="shared" si="28"/>
        <v>1032.4510164317351</v>
      </c>
      <c r="E20" s="15">
        <f t="shared" si="29"/>
        <v>39.203640990867164</v>
      </c>
      <c r="F20" s="15">
        <f t="shared" si="30"/>
        <v>45</v>
      </c>
      <c r="H20" s="22">
        <f t="shared" si="0"/>
        <v>40475.838988845637</v>
      </c>
      <c r="I20" s="20">
        <f t="shared" si="8"/>
        <v>46460.295739428075</v>
      </c>
      <c r="K20" s="54">
        <f t="shared" si="31"/>
        <v>25</v>
      </c>
      <c r="L20" s="7">
        <f t="shared" si="9"/>
        <v>56.838617625306206</v>
      </c>
      <c r="M20" s="7">
        <f t="shared" si="10"/>
        <v>1420.9654406326551</v>
      </c>
      <c r="O20" s="15">
        <f t="shared" si="32"/>
        <v>6</v>
      </c>
      <c r="P20" s="7">
        <f t="shared" si="11"/>
        <v>12.744644972040522</v>
      </c>
      <c r="Q20" s="7">
        <f t="shared" si="12"/>
        <v>76.467869832243139</v>
      </c>
      <c r="S20" s="15">
        <f t="shared" si="33"/>
        <v>49</v>
      </c>
      <c r="T20" s="7">
        <f t="shared" si="13"/>
        <v>18.404766709623228</v>
      </c>
      <c r="U20" s="7">
        <f t="shared" si="14"/>
        <v>901.83356877153813</v>
      </c>
      <c r="W20" s="14">
        <f t="shared" si="34"/>
        <v>6</v>
      </c>
      <c r="X20" s="7">
        <f t="shared" si="15"/>
        <v>75.480784584408568</v>
      </c>
      <c r="Y20" s="22">
        <f t="shared" si="16"/>
        <v>452.88470750645138</v>
      </c>
      <c r="AA20" s="7">
        <f t="shared" si="17"/>
        <v>37.650961683420483</v>
      </c>
      <c r="AB20" s="6">
        <f t="shared" si="35"/>
        <v>1694.2932757539218</v>
      </c>
      <c r="AD20" s="7">
        <f t="shared" si="36"/>
        <v>60</v>
      </c>
      <c r="AE20" s="7">
        <f t="shared" si="18"/>
        <v>52.711346356788646</v>
      </c>
      <c r="AF20" s="22">
        <f t="shared" si="19"/>
        <v>3162.6807814073186</v>
      </c>
      <c r="AH20" s="15">
        <f t="shared" si="37"/>
        <v>11</v>
      </c>
      <c r="AI20" s="7">
        <f t="shared" si="20"/>
        <v>166.66709265255153</v>
      </c>
      <c r="AJ20" s="7">
        <f t="shared" si="21"/>
        <v>442.47900704217204</v>
      </c>
      <c r="AK20" s="7">
        <f t="shared" si="38"/>
        <v>2275.8170262202389</v>
      </c>
      <c r="AM20" s="7">
        <f t="shared" si="22"/>
        <v>117.47100045227181</v>
      </c>
      <c r="AN20" s="21">
        <f t="shared" si="23"/>
        <v>5286.195020352231</v>
      </c>
      <c r="AP20" s="7">
        <f t="shared" si="39"/>
        <v>5</v>
      </c>
      <c r="AQ20" s="7">
        <f t="shared" si="24"/>
        <v>475.41116298421338</v>
      </c>
      <c r="AR20" s="22">
        <f t="shared" si="40"/>
        <v>2377.0558149210669</v>
      </c>
      <c r="AS20" s="7">
        <f t="shared" si="41"/>
        <v>43.7</v>
      </c>
      <c r="AT20" s="7">
        <f t="shared" si="25"/>
        <v>301.20769346736358</v>
      </c>
      <c r="AU20" s="22">
        <f t="shared" si="42"/>
        <v>13162.776204523789</v>
      </c>
      <c r="AW20" s="6">
        <f t="shared" si="26"/>
        <v>204.75</v>
      </c>
      <c r="AY20" t="str">
        <f>IF(Mandarins!$D$17&lt;0,(+M20+Q20+U20+Y20+AB20+AF20+AK20+AN20+AR20+AU20+AW20)*Mandarins!$D$17/100,IF(Mandarins!$D$17&gt;0,(+M20+Q20+U20+Y20+AB20+AF20+AK20+AN20+AR20+AU20+AW20)*Mandarins!$D$17/100,""))</f>
        <v/>
      </c>
      <c r="AZ20" s="22">
        <f t="shared" si="43"/>
        <v>31015.719709921454</v>
      </c>
      <c r="BB20" s="22">
        <f t="shared" si="1"/>
        <v>9460.1192789241832</v>
      </c>
      <c r="BC20" s="21">
        <f t="shared" si="2"/>
        <v>15444.576029506621</v>
      </c>
      <c r="BE20" s="6">
        <f t="shared" si="3"/>
        <v>29.268872971196288</v>
      </c>
      <c r="BF20" s="6">
        <f t="shared" si="27"/>
        <v>29.268872971196288</v>
      </c>
      <c r="BH20" s="7">
        <f t="shared" si="45"/>
        <v>189.38101501404969</v>
      </c>
      <c r="BI20" s="7">
        <f t="shared" si="44"/>
        <v>213.55625466836082</v>
      </c>
      <c r="BJ20" s="7">
        <f t="shared" si="44"/>
        <v>188.63131803393648</v>
      </c>
      <c r="BK20" s="7">
        <v>124.56255613936351</v>
      </c>
      <c r="BM20" s="121">
        <f t="shared" si="4"/>
        <v>1.0324510164317351</v>
      </c>
      <c r="BN20" s="121">
        <f t="shared" si="5"/>
        <v>1.0324510164317351</v>
      </c>
    </row>
    <row r="21" spans="1:66" x14ac:dyDescent="0.2">
      <c r="A21" s="8">
        <f t="shared" si="6"/>
        <v>2035</v>
      </c>
      <c r="B21" s="22">
        <f t="shared" si="7"/>
        <v>1065.4894489575506</v>
      </c>
      <c r="C21" s="52">
        <f t="shared" si="28"/>
        <v>1065.4894489575506</v>
      </c>
      <c r="E21" s="15">
        <f>+E7*0.862</f>
        <v>38.79</v>
      </c>
      <c r="F21" s="15">
        <f t="shared" si="30"/>
        <v>45</v>
      </c>
      <c r="H21" s="22">
        <f t="shared" si="0"/>
        <v>41330.335725063385</v>
      </c>
      <c r="I21" s="20">
        <f t="shared" si="8"/>
        <v>47947.025203089775</v>
      </c>
      <c r="K21" s="54">
        <f t="shared" si="31"/>
        <v>25</v>
      </c>
      <c r="L21" s="7">
        <f t="shared" si="9"/>
        <v>56.670644620203788</v>
      </c>
      <c r="M21" s="7">
        <f t="shared" si="10"/>
        <v>1416.7661155050946</v>
      </c>
      <c r="O21" s="15">
        <f t="shared" si="32"/>
        <v>6</v>
      </c>
      <c r="P21" s="7">
        <f t="shared" si="11"/>
        <v>12.706981207431934</v>
      </c>
      <c r="Q21" s="7">
        <f t="shared" si="12"/>
        <v>76.241887244591595</v>
      </c>
      <c r="S21" s="15">
        <f t="shared" si="33"/>
        <v>49</v>
      </c>
      <c r="T21" s="7">
        <f t="shared" si="13"/>
        <v>18.350375802497297</v>
      </c>
      <c r="U21" s="7">
        <f t="shared" si="14"/>
        <v>899.16841432236754</v>
      </c>
      <c r="W21" s="14">
        <f t="shared" si="34"/>
        <v>6</v>
      </c>
      <c r="X21" s="7">
        <f t="shared" si="15"/>
        <v>75.257719092251222</v>
      </c>
      <c r="Y21" s="22">
        <f t="shared" si="16"/>
        <v>451.54631455350733</v>
      </c>
      <c r="AA21" s="7">
        <f t="shared" si="17"/>
        <v>38.855792457289937</v>
      </c>
      <c r="AB21" s="6">
        <f t="shared" si="35"/>
        <v>1748.5106605780472</v>
      </c>
      <c r="AD21" s="7">
        <f t="shared" si="36"/>
        <v>60</v>
      </c>
      <c r="AE21" s="7">
        <f t="shared" si="18"/>
        <v>54.398109440205886</v>
      </c>
      <c r="AF21" s="22">
        <f t="shared" si="19"/>
        <v>3263.8865664123532</v>
      </c>
      <c r="AH21" s="15">
        <f t="shared" si="37"/>
        <v>11</v>
      </c>
      <c r="AI21" s="7">
        <f t="shared" si="20"/>
        <v>172.00043961743316</v>
      </c>
      <c r="AJ21" s="7">
        <f t="shared" si="21"/>
        <v>456.6383352675216</v>
      </c>
      <c r="AK21" s="7">
        <f t="shared" si="38"/>
        <v>2348.643171059286</v>
      </c>
      <c r="AM21" s="7">
        <f t="shared" si="22"/>
        <v>121.2300724667445</v>
      </c>
      <c r="AN21" s="21">
        <f t="shared" si="23"/>
        <v>5455.3532610035027</v>
      </c>
      <c r="AP21" s="7">
        <f t="shared" si="39"/>
        <v>5</v>
      </c>
      <c r="AQ21" s="7">
        <f t="shared" si="24"/>
        <v>490.62432019970822</v>
      </c>
      <c r="AR21" s="22">
        <f t="shared" si="40"/>
        <v>2453.121600998541</v>
      </c>
      <c r="AS21" s="7">
        <f t="shared" si="41"/>
        <v>43.7</v>
      </c>
      <c r="AT21" s="7">
        <f t="shared" si="25"/>
        <v>310.84633965831921</v>
      </c>
      <c r="AU21" s="22">
        <f t="shared" si="42"/>
        <v>13583.985043068551</v>
      </c>
      <c r="AW21" s="6">
        <f t="shared" si="26"/>
        <v>204.75</v>
      </c>
      <c r="AY21" t="str">
        <f>IF(Mandarins!$D$17&lt;0,(+M21+Q21+U21+Y21+AB21+AF21+AK21+AN21+AR21+AU21+AW21)*Mandarins!$D$17/100,IF(Mandarins!$D$17&gt;0,(+M21+Q21+U21+Y21+AB21+AF21+AK21+AN21+AR21+AU21+AW21)*Mandarins!$D$17/100,""))</f>
        <v/>
      </c>
      <c r="AZ21" s="22">
        <f t="shared" si="43"/>
        <v>31901.973034745843</v>
      </c>
      <c r="BB21" s="22">
        <f t="shared" si="1"/>
        <v>9428.3626903175427</v>
      </c>
      <c r="BC21" s="21">
        <f t="shared" si="2"/>
        <v>16045.052168343933</v>
      </c>
      <c r="BE21" s="6">
        <f t="shared" si="3"/>
        <v>29.171761693710057</v>
      </c>
      <c r="BF21" s="6">
        <f t="shared" si="27"/>
        <v>29.171761693710057</v>
      </c>
      <c r="BH21" s="7">
        <f t="shared" si="45"/>
        <v>195.44120749449928</v>
      </c>
      <c r="BI21" s="7">
        <f t="shared" si="44"/>
        <v>220.39005481774836</v>
      </c>
      <c r="BJ21" s="7">
        <f t="shared" si="44"/>
        <v>194.66752021102243</v>
      </c>
      <c r="BK21" s="7">
        <v>124.19444115430356</v>
      </c>
      <c r="BM21" s="121">
        <f t="shared" si="4"/>
        <v>1.0654894489575506</v>
      </c>
      <c r="BN21" s="121">
        <f t="shared" si="5"/>
        <v>1.0654894489575506</v>
      </c>
    </row>
    <row r="22" spans="1:66" x14ac:dyDescent="0.2">
      <c r="A22" s="8">
        <f t="shared" si="6"/>
        <v>2036</v>
      </c>
      <c r="B22" s="22">
        <f t="shared" si="7"/>
        <v>1099.5851113241924</v>
      </c>
      <c r="C22" s="52">
        <f t="shared" si="28"/>
        <v>1099.5851113241924</v>
      </c>
      <c r="E22" s="15">
        <f>E21*((E$41/E$21)^(1/($A$41-$A$21)))</f>
        <v>38.650323628572259</v>
      </c>
      <c r="F22" s="15">
        <f t="shared" si="30"/>
        <v>45</v>
      </c>
      <c r="H22" s="22">
        <f t="shared" si="0"/>
        <v>42499.320409839696</v>
      </c>
      <c r="I22" s="20">
        <f t="shared" si="8"/>
        <v>49481.330009588659</v>
      </c>
      <c r="K22" s="54">
        <f t="shared" si="31"/>
        <v>25</v>
      </c>
      <c r="L22" s="7">
        <f t="shared" si="9"/>
        <v>55.636232476740751</v>
      </c>
      <c r="M22" s="7">
        <f t="shared" si="10"/>
        <v>1390.9058119185188</v>
      </c>
      <c r="O22" s="15">
        <f t="shared" si="32"/>
        <v>6</v>
      </c>
      <c r="P22" s="7">
        <f t="shared" si="11"/>
        <v>12.475040036552114</v>
      </c>
      <c r="Q22" s="7">
        <f t="shared" si="12"/>
        <v>74.850240219312681</v>
      </c>
      <c r="S22" s="15">
        <f t="shared" si="33"/>
        <v>49</v>
      </c>
      <c r="T22" s="7">
        <f t="shared" si="13"/>
        <v>18.015425464550262</v>
      </c>
      <c r="U22" s="7">
        <f t="shared" si="14"/>
        <v>882.75584776296284</v>
      </c>
      <c r="W22" s="14">
        <f t="shared" si="34"/>
        <v>6</v>
      </c>
      <c r="X22" s="7">
        <f t="shared" si="15"/>
        <v>73.884036138050249</v>
      </c>
      <c r="Y22" s="22">
        <f t="shared" si="16"/>
        <v>443.30421682830149</v>
      </c>
      <c r="AA22" s="7">
        <f t="shared" si="17"/>
        <v>40.099177815923213</v>
      </c>
      <c r="AB22" s="6">
        <f t="shared" si="35"/>
        <v>1804.4630017165446</v>
      </c>
      <c r="AD22" s="7">
        <f t="shared" si="36"/>
        <v>60</v>
      </c>
      <c r="AE22" s="7">
        <f t="shared" si="18"/>
        <v>56.138848942292476</v>
      </c>
      <c r="AF22" s="22">
        <f t="shared" si="19"/>
        <v>3368.3309365375485</v>
      </c>
      <c r="AH22" s="15">
        <f t="shared" si="37"/>
        <v>11</v>
      </c>
      <c r="AI22" s="7">
        <f t="shared" si="20"/>
        <v>177.50445368519101</v>
      </c>
      <c r="AJ22" s="7">
        <f t="shared" si="21"/>
        <v>471.2507619960823</v>
      </c>
      <c r="AK22" s="7">
        <f t="shared" si="38"/>
        <v>2423.7997525331834</v>
      </c>
      <c r="AM22" s="7">
        <f t="shared" si="22"/>
        <v>125.10943478568034</v>
      </c>
      <c r="AN22" s="21">
        <f t="shared" si="23"/>
        <v>5629.9245653556154</v>
      </c>
      <c r="AP22" s="7">
        <f t="shared" si="39"/>
        <v>5</v>
      </c>
      <c r="AQ22" s="7">
        <f t="shared" si="24"/>
        <v>506.32429844609891</v>
      </c>
      <c r="AR22" s="22">
        <f t="shared" si="40"/>
        <v>2531.6214922304944</v>
      </c>
      <c r="AS22" s="7">
        <f t="shared" si="41"/>
        <v>43.7</v>
      </c>
      <c r="AT22" s="7">
        <f t="shared" si="25"/>
        <v>320.79342252738542</v>
      </c>
      <c r="AU22" s="22">
        <f t="shared" si="42"/>
        <v>14018.672564446744</v>
      </c>
      <c r="AW22" s="6">
        <f t="shared" si="26"/>
        <v>204.75</v>
      </c>
      <c r="AY22" t="str">
        <f>IF(Mandarins!$D$17&lt;0,(+M22+Q22+U22+Y22+AB22+AF22+AK22+AN22+AR22+AU22+AW22)*Mandarins!$D$17/100,IF(Mandarins!$D$17&gt;0,(+M22+Q22+U22+Y22+AB22+AF22+AK22+AN22+AR22+AU22+AW22)*Mandarins!$D$17/100,""))</f>
        <v/>
      </c>
      <c r="AZ22" s="22">
        <f t="shared" si="43"/>
        <v>32773.378429549222</v>
      </c>
      <c r="BB22" s="22">
        <f t="shared" si="1"/>
        <v>9725.941980290474</v>
      </c>
      <c r="BC22" s="21">
        <f t="shared" si="2"/>
        <v>16707.951580039437</v>
      </c>
      <c r="BE22" s="6">
        <f t="shared" si="3"/>
        <v>29.036879542103492</v>
      </c>
      <c r="BF22" s="6">
        <f t="shared" si="27"/>
        <v>29.036879542103492</v>
      </c>
      <c r="BH22" s="7">
        <f t="shared" si="45"/>
        <v>201.69532613432327</v>
      </c>
      <c r="BI22" s="7">
        <f t="shared" si="44"/>
        <v>227.44253657191632</v>
      </c>
      <c r="BJ22" s="7">
        <f t="shared" si="44"/>
        <v>200.89688085777516</v>
      </c>
      <c r="BK22" s="7">
        <v>121.92751373638573</v>
      </c>
      <c r="BM22" s="121">
        <f t="shared" si="4"/>
        <v>1.0995851113241923</v>
      </c>
      <c r="BN22" s="121">
        <f t="shared" si="5"/>
        <v>1.0995851113241923</v>
      </c>
    </row>
    <row r="23" spans="1:66" x14ac:dyDescent="0.2">
      <c r="A23" s="8">
        <f t="shared" si="6"/>
        <v>2037</v>
      </c>
      <c r="B23" s="22">
        <f t="shared" si="7"/>
        <v>1134.7718348865665</v>
      </c>
      <c r="C23" s="52">
        <f t="shared" si="28"/>
        <v>1134.7718348865665</v>
      </c>
      <c r="E23" s="15">
        <f t="shared" ref="E23:E38" si="46">E22*((E$41/E$21)^(1/($A$41-$A$21)))</f>
        <v>38.511150208645816</v>
      </c>
      <c r="F23" s="15">
        <f t="shared" si="30"/>
        <v>45</v>
      </c>
      <c r="H23" s="22">
        <f t="shared" si="0"/>
        <v>43701.368585857192</v>
      </c>
      <c r="I23" s="20">
        <f t="shared" si="8"/>
        <v>51064.732569895488</v>
      </c>
      <c r="K23" s="54">
        <f t="shared" si="31"/>
        <v>25</v>
      </c>
      <c r="L23" s="7">
        <f t="shared" si="9"/>
        <v>54.727423189470649</v>
      </c>
      <c r="M23" s="7">
        <f t="shared" si="10"/>
        <v>1368.1855797367662</v>
      </c>
      <c r="O23" s="15">
        <f t="shared" si="32"/>
        <v>6</v>
      </c>
      <c r="P23" s="7">
        <f t="shared" si="11"/>
        <v>12.271262179217425</v>
      </c>
      <c r="Q23" s="7">
        <f t="shared" si="12"/>
        <v>73.627573075304554</v>
      </c>
      <c r="S23" s="15">
        <f t="shared" si="33"/>
        <v>49</v>
      </c>
      <c r="T23" s="7">
        <f t="shared" si="13"/>
        <v>17.721146264693402</v>
      </c>
      <c r="U23" s="7">
        <f t="shared" si="14"/>
        <v>868.33616696997672</v>
      </c>
      <c r="W23" s="14">
        <f t="shared" si="34"/>
        <v>6</v>
      </c>
      <c r="X23" s="7">
        <f t="shared" si="15"/>
        <v>72.677151788874909</v>
      </c>
      <c r="Y23" s="22">
        <f t="shared" si="16"/>
        <v>436.06291073324945</v>
      </c>
      <c r="AA23" s="7">
        <f t="shared" si="17"/>
        <v>41.382351506032755</v>
      </c>
      <c r="AB23" s="6">
        <f t="shared" si="35"/>
        <v>1862.2058177714739</v>
      </c>
      <c r="AD23" s="7">
        <f t="shared" si="36"/>
        <v>60</v>
      </c>
      <c r="AE23" s="7">
        <f t="shared" si="18"/>
        <v>57.935292108445836</v>
      </c>
      <c r="AF23" s="22">
        <f t="shared" si="19"/>
        <v>3476.11752650675</v>
      </c>
      <c r="AH23" s="15">
        <f t="shared" si="37"/>
        <v>11</v>
      </c>
      <c r="AI23" s="7">
        <f t="shared" si="20"/>
        <v>183.18459620311711</v>
      </c>
      <c r="AJ23" s="7">
        <f t="shared" si="21"/>
        <v>486.33078637995692</v>
      </c>
      <c r="AK23" s="7">
        <f t="shared" si="38"/>
        <v>2501.3613446142454</v>
      </c>
      <c r="AM23" s="7">
        <f t="shared" si="22"/>
        <v>129.11293669882212</v>
      </c>
      <c r="AN23" s="21">
        <f t="shared" si="23"/>
        <v>5810.0821514469953</v>
      </c>
      <c r="AP23" s="7">
        <f t="shared" si="39"/>
        <v>5</v>
      </c>
      <c r="AQ23" s="7">
        <f t="shared" si="24"/>
        <v>522.52667599637414</v>
      </c>
      <c r="AR23" s="22">
        <f t="shared" si="40"/>
        <v>2612.6333799818708</v>
      </c>
      <c r="AS23" s="7">
        <f t="shared" si="41"/>
        <v>43.7</v>
      </c>
      <c r="AT23" s="7">
        <f t="shared" si="25"/>
        <v>331.05881204826176</v>
      </c>
      <c r="AU23" s="22">
        <f t="shared" si="42"/>
        <v>14467.270086509039</v>
      </c>
      <c r="AW23" s="6">
        <f t="shared" si="26"/>
        <v>204.75</v>
      </c>
      <c r="AY23" t="str">
        <f>IF(Mandarins!$D$17&lt;0,(+M23+Q23+U23+Y23+AB23+AF23+AK23+AN23+AR23+AU23+AW23)*Mandarins!$D$17/100,IF(Mandarins!$D$17&gt;0,(+M23+Q23+U23+Y23+AB23+AF23+AK23+AN23+AR23+AU23+AW23)*Mandarins!$D$17/100,""))</f>
        <v/>
      </c>
      <c r="AZ23" s="22">
        <f t="shared" si="43"/>
        <v>33680.632537345671</v>
      </c>
      <c r="BB23" s="22">
        <f t="shared" si="1"/>
        <v>10020.73604851152</v>
      </c>
      <c r="BC23" s="21">
        <f t="shared" si="2"/>
        <v>17384.100032549817</v>
      </c>
      <c r="BE23" s="6">
        <f t="shared" si="3"/>
        <v>28.913463317601394</v>
      </c>
      <c r="BF23" s="6">
        <f t="shared" si="27"/>
        <v>28.913463317601394</v>
      </c>
      <c r="BH23" s="7">
        <f t="shared" si="45"/>
        <v>208.1495765706216</v>
      </c>
      <c r="BI23" s="7">
        <f t="shared" si="44"/>
        <v>234.72069774221765</v>
      </c>
      <c r="BJ23" s="7">
        <f t="shared" si="44"/>
        <v>207.32558104522397</v>
      </c>
      <c r="BK23" s="7">
        <v>119.93584658128668</v>
      </c>
      <c r="BM23" s="121">
        <f t="shared" si="4"/>
        <v>1.1347718348865665</v>
      </c>
      <c r="BN23" s="121">
        <f t="shared" si="5"/>
        <v>1.1347718348865665</v>
      </c>
    </row>
    <row r="24" spans="1:66" x14ac:dyDescent="0.2">
      <c r="A24" s="8">
        <f t="shared" si="6"/>
        <v>2038</v>
      </c>
      <c r="B24" s="22">
        <f t="shared" si="7"/>
        <v>1171.0845336029365</v>
      </c>
      <c r="C24" s="52">
        <f t="shared" si="28"/>
        <v>1171.0845336029365</v>
      </c>
      <c r="E24" s="15">
        <f t="shared" si="46"/>
        <v>38.372477929175531</v>
      </c>
      <c r="F24" s="15">
        <f t="shared" si="30"/>
        <v>45</v>
      </c>
      <c r="H24" s="22">
        <f t="shared" si="0"/>
        <v>44937.415418877499</v>
      </c>
      <c r="I24" s="20">
        <f t="shared" si="8"/>
        <v>52698.804012132146</v>
      </c>
      <c r="K24" s="54">
        <f t="shared" si="31"/>
        <v>25</v>
      </c>
      <c r="L24" s="7">
        <f t="shared" si="9"/>
        <v>54.108414468629732</v>
      </c>
      <c r="M24" s="7">
        <f t="shared" si="10"/>
        <v>1352.7103617157434</v>
      </c>
      <c r="O24" s="15">
        <f t="shared" si="32"/>
        <v>6</v>
      </c>
      <c r="P24" s="7">
        <f t="shared" si="11"/>
        <v>12.132464884150876</v>
      </c>
      <c r="Q24" s="7">
        <f t="shared" si="12"/>
        <v>72.794789304905251</v>
      </c>
      <c r="S24" s="15">
        <f t="shared" si="33"/>
        <v>49</v>
      </c>
      <c r="T24" s="7">
        <f t="shared" si="13"/>
        <v>17.520706641523766</v>
      </c>
      <c r="U24" s="7">
        <f t="shared" si="14"/>
        <v>858.51462543466459</v>
      </c>
      <c r="W24" s="14">
        <f t="shared" si="34"/>
        <v>6</v>
      </c>
      <c r="X24" s="7">
        <f t="shared" si="15"/>
        <v>71.855118005054294</v>
      </c>
      <c r="Y24" s="22">
        <f t="shared" si="16"/>
        <v>431.13070803032576</v>
      </c>
      <c r="AA24" s="7">
        <f t="shared" si="17"/>
        <v>42.706586754225803</v>
      </c>
      <c r="AB24" s="6">
        <f t="shared" si="35"/>
        <v>1921.7964039401611</v>
      </c>
      <c r="AD24" s="7">
        <f t="shared" si="36"/>
        <v>60</v>
      </c>
      <c r="AE24" s="7">
        <f t="shared" si="18"/>
        <v>59.789221455916106</v>
      </c>
      <c r="AF24" s="22">
        <f t="shared" si="19"/>
        <v>3587.3532873549666</v>
      </c>
      <c r="AH24" s="15">
        <f t="shared" si="37"/>
        <v>11</v>
      </c>
      <c r="AI24" s="7">
        <f t="shared" si="20"/>
        <v>189.04650328161685</v>
      </c>
      <c r="AJ24" s="7">
        <f t="shared" si="21"/>
        <v>501.8933715441155</v>
      </c>
      <c r="AK24" s="7">
        <f t="shared" si="38"/>
        <v>2581.4049076419005</v>
      </c>
      <c r="AM24" s="7">
        <f t="shared" si="22"/>
        <v>133.24455067318445</v>
      </c>
      <c r="AN24" s="21">
        <f t="shared" si="23"/>
        <v>5996.0047802933004</v>
      </c>
      <c r="AP24" s="7">
        <f t="shared" si="39"/>
        <v>5</v>
      </c>
      <c r="AQ24" s="7">
        <f t="shared" si="24"/>
        <v>539.24752962825812</v>
      </c>
      <c r="AR24" s="22">
        <f t="shared" si="40"/>
        <v>2696.2376481412907</v>
      </c>
      <c r="AS24" s="7">
        <f t="shared" si="41"/>
        <v>43.7</v>
      </c>
      <c r="AT24" s="7">
        <f t="shared" si="25"/>
        <v>341.65269403380614</v>
      </c>
      <c r="AU24" s="22">
        <f t="shared" si="42"/>
        <v>14930.22272927733</v>
      </c>
      <c r="AW24" s="6">
        <f t="shared" si="26"/>
        <v>204.75</v>
      </c>
      <c r="AY24" t="str">
        <f>IF(Mandarins!$D$17&lt;0,(+M24+Q24+U24+Y24+AB24+AF24+AK24+AN24+AR24+AU24+AW24)*Mandarins!$D$17/100,IF(Mandarins!$D$17&gt;0,(+M24+Q24+U24+Y24+AB24+AF24+AK24+AN24+AR24+AU24+AW24)*Mandarins!$D$17/100,""))</f>
        <v/>
      </c>
      <c r="AZ24" s="22">
        <f t="shared" si="43"/>
        <v>34632.92024113459</v>
      </c>
      <c r="BB24" s="22">
        <f t="shared" si="1"/>
        <v>10304.495177742909</v>
      </c>
      <c r="BC24" s="21">
        <f t="shared" si="2"/>
        <v>18065.883770997556</v>
      </c>
      <c r="BE24" s="6">
        <f t="shared" si="3"/>
        <v>28.808054896833937</v>
      </c>
      <c r="BF24" s="6">
        <f t="shared" si="27"/>
        <v>28.808054896833937</v>
      </c>
      <c r="BH24" s="7">
        <f t="shared" si="45"/>
        <v>214.81036302088148</v>
      </c>
      <c r="BI24" s="7">
        <f t="shared" si="44"/>
        <v>242.23176006996863</v>
      </c>
      <c r="BJ24" s="7">
        <f t="shared" si="44"/>
        <v>213.95999963867115</v>
      </c>
      <c r="BK24" s="7">
        <v>118.57928106717092</v>
      </c>
      <c r="BM24" s="121">
        <f t="shared" si="4"/>
        <v>1.1710845336029365</v>
      </c>
      <c r="BN24" s="121">
        <f t="shared" si="5"/>
        <v>1.1710845336029365</v>
      </c>
    </row>
    <row r="25" spans="1:66" x14ac:dyDescent="0.2">
      <c r="A25" s="8">
        <f t="shared" si="6"/>
        <v>2039</v>
      </c>
      <c r="B25" s="22">
        <f t="shared" si="7"/>
        <v>1208.5592386782305</v>
      </c>
      <c r="C25" s="52">
        <f t="shared" si="28"/>
        <v>1208.5592386782305</v>
      </c>
      <c r="E25" s="15">
        <f t="shared" si="46"/>
        <v>38.23430498563755</v>
      </c>
      <c r="F25" s="15">
        <f t="shared" si="30"/>
        <v>45</v>
      </c>
      <c r="H25" s="22">
        <f t="shared" si="0"/>
        <v>46208.42252483339</v>
      </c>
      <c r="I25" s="20">
        <f t="shared" si="8"/>
        <v>54385.165740520373</v>
      </c>
      <c r="K25" s="54">
        <f t="shared" si="31"/>
        <v>25</v>
      </c>
      <c r="L25" s="7">
        <f t="shared" si="9"/>
        <v>53.677336670030385</v>
      </c>
      <c r="M25" s="7">
        <f t="shared" si="10"/>
        <v>1341.9334167507595</v>
      </c>
      <c r="O25" s="15">
        <f t="shared" si="32"/>
        <v>6</v>
      </c>
      <c r="P25" s="7">
        <f t="shared" si="11"/>
        <v>12.035806419747416</v>
      </c>
      <c r="Q25" s="7">
        <f t="shared" si="12"/>
        <v>72.214838518484498</v>
      </c>
      <c r="S25" s="15">
        <f t="shared" si="33"/>
        <v>49</v>
      </c>
      <c r="T25" s="7">
        <f t="shared" si="13"/>
        <v>17.381120447341125</v>
      </c>
      <c r="U25" s="7">
        <f t="shared" si="14"/>
        <v>851.67490191971513</v>
      </c>
      <c r="W25" s="14">
        <f t="shared" si="34"/>
        <v>6</v>
      </c>
      <c r="X25" s="7">
        <f t="shared" si="15"/>
        <v>71.282653511464787</v>
      </c>
      <c r="Y25" s="22">
        <f t="shared" si="16"/>
        <v>427.69592106878872</v>
      </c>
      <c r="AA25" s="7">
        <f t="shared" si="17"/>
        <v>44.073197530361028</v>
      </c>
      <c r="AB25" s="6">
        <f t="shared" si="35"/>
        <v>1983.2938888662463</v>
      </c>
      <c r="AD25" s="7">
        <f t="shared" si="36"/>
        <v>60</v>
      </c>
      <c r="AE25" s="7">
        <f t="shared" si="18"/>
        <v>61.702476542505423</v>
      </c>
      <c r="AF25" s="22">
        <f t="shared" si="19"/>
        <v>3702.1485925503252</v>
      </c>
      <c r="AH25" s="15">
        <f t="shared" si="37"/>
        <v>11</v>
      </c>
      <c r="AI25" s="7">
        <f t="shared" si="20"/>
        <v>195.09599138662858</v>
      </c>
      <c r="AJ25" s="7">
        <f t="shared" si="21"/>
        <v>517.95395943352719</v>
      </c>
      <c r="AK25" s="7">
        <f t="shared" si="38"/>
        <v>2664.0098646864417</v>
      </c>
      <c r="AM25" s="7">
        <f t="shared" si="22"/>
        <v>137.50837629472636</v>
      </c>
      <c r="AN25" s="21">
        <f t="shared" si="23"/>
        <v>6187.8769332626862</v>
      </c>
      <c r="AP25" s="7">
        <f t="shared" si="39"/>
        <v>5</v>
      </c>
      <c r="AQ25" s="7">
        <f t="shared" si="24"/>
        <v>556.50345057636241</v>
      </c>
      <c r="AR25" s="22">
        <f t="shared" si="40"/>
        <v>2782.5172528818121</v>
      </c>
      <c r="AS25" s="7">
        <f t="shared" si="41"/>
        <v>43.7</v>
      </c>
      <c r="AT25" s="7">
        <f t="shared" si="25"/>
        <v>352.585580242888</v>
      </c>
      <c r="AU25" s="22">
        <f t="shared" si="42"/>
        <v>15407.989856614207</v>
      </c>
      <c r="AW25" s="6">
        <f t="shared" si="26"/>
        <v>204.75</v>
      </c>
      <c r="AY25" t="str">
        <f>IF(Mandarins!$D$17&lt;0,(+M25+Q25+U25+Y25+AB25+AF25+AK25+AN25+AR25+AU25+AW25)*Mandarins!$D$17/100,IF(Mandarins!$D$17&gt;0,(+M25+Q25+U25+Y25+AB25+AF25+AK25+AN25+AR25+AU25+AW25)*Mandarins!$D$17/100,""))</f>
        <v/>
      </c>
      <c r="AZ25" s="22">
        <f t="shared" si="43"/>
        <v>35626.105467119465</v>
      </c>
      <c r="BB25" s="22">
        <f t="shared" si="1"/>
        <v>10582.317057713924</v>
      </c>
      <c r="BC25" s="21">
        <f t="shared" si="2"/>
        <v>18759.060273400908</v>
      </c>
      <c r="BE25" s="6">
        <f t="shared" si="3"/>
        <v>28.71486681393991</v>
      </c>
      <c r="BF25" s="6">
        <f t="shared" si="27"/>
        <v>28.71486681393991</v>
      </c>
      <c r="BH25" s="7">
        <f t="shared" si="45"/>
        <v>221.6842946375497</v>
      </c>
      <c r="BI25" s="7">
        <f t="shared" si="45"/>
        <v>249.98317639220764</v>
      </c>
      <c r="BJ25" s="7">
        <f t="shared" si="45"/>
        <v>220.80671962710863</v>
      </c>
      <c r="BK25" s="7">
        <v>117.63456856831245</v>
      </c>
      <c r="BM25" s="121">
        <f t="shared" si="4"/>
        <v>1.2085592386782305</v>
      </c>
      <c r="BN25" s="121">
        <f t="shared" si="5"/>
        <v>1.2085592386782305</v>
      </c>
    </row>
    <row r="26" spans="1:66" x14ac:dyDescent="0.2">
      <c r="A26" s="8">
        <f t="shared" si="6"/>
        <v>2040</v>
      </c>
      <c r="B26" s="22">
        <f t="shared" si="7"/>
        <v>1247.233134315934</v>
      </c>
      <c r="C26" s="52">
        <f t="shared" si="28"/>
        <v>1247.233134315934</v>
      </c>
      <c r="E26" s="15">
        <f t="shared" si="46"/>
        <v>38.096629580005803</v>
      </c>
      <c r="F26" s="15">
        <f t="shared" si="30"/>
        <v>45</v>
      </c>
      <c r="H26" s="22">
        <f t="shared" si="0"/>
        <v>47515.378717943764</v>
      </c>
      <c r="I26" s="20">
        <f t="shared" si="8"/>
        <v>56125.491044217029</v>
      </c>
      <c r="K26" s="54">
        <f t="shared" si="31"/>
        <v>25</v>
      </c>
      <c r="L26" s="7">
        <f t="shared" si="9"/>
        <v>53.522756996730422</v>
      </c>
      <c r="M26" s="7">
        <f t="shared" si="10"/>
        <v>1338.0689249182606</v>
      </c>
      <c r="O26" s="15">
        <f t="shared" si="32"/>
        <v>6</v>
      </c>
      <c r="P26" s="7">
        <f t="shared" si="11"/>
        <v>12.001145776360746</v>
      </c>
      <c r="Q26" s="7">
        <f t="shared" si="12"/>
        <v>72.006874658164477</v>
      </c>
      <c r="S26" s="15">
        <f t="shared" si="33"/>
        <v>49</v>
      </c>
      <c r="T26" s="7">
        <f t="shared" si="13"/>
        <v>17.331066400568023</v>
      </c>
      <c r="U26" s="7">
        <f t="shared" si="14"/>
        <v>849.22225362783308</v>
      </c>
      <c r="W26" s="14">
        <f t="shared" si="34"/>
        <v>6</v>
      </c>
      <c r="X26" s="7">
        <f t="shared" si="15"/>
        <v>71.077374151956079</v>
      </c>
      <c r="Y26" s="22">
        <f t="shared" si="16"/>
        <v>426.4642449117365</v>
      </c>
      <c r="AA26" s="7">
        <f t="shared" si="17"/>
        <v>45.48353985133258</v>
      </c>
      <c r="AB26" s="6">
        <f t="shared" si="35"/>
        <v>2046.7592933099661</v>
      </c>
      <c r="AD26" s="7">
        <f t="shared" si="36"/>
        <v>60</v>
      </c>
      <c r="AE26" s="7">
        <f t="shared" si="18"/>
        <v>63.676955791865595</v>
      </c>
      <c r="AF26" s="22">
        <f t="shared" si="19"/>
        <v>3820.6173475119358</v>
      </c>
      <c r="AH26" s="15">
        <f t="shared" si="37"/>
        <v>11</v>
      </c>
      <c r="AI26" s="7">
        <f t="shared" si="20"/>
        <v>201.33906311100068</v>
      </c>
      <c r="AJ26" s="7">
        <f t="shared" si="21"/>
        <v>534.52848613540004</v>
      </c>
      <c r="AK26" s="7">
        <f t="shared" si="38"/>
        <v>2749.2581803564071</v>
      </c>
      <c r="AM26" s="7">
        <f t="shared" si="22"/>
        <v>141.90864433615758</v>
      </c>
      <c r="AN26" s="21">
        <f t="shared" si="23"/>
        <v>6385.8889951270912</v>
      </c>
      <c r="AP26" s="7">
        <f t="shared" si="39"/>
        <v>5</v>
      </c>
      <c r="AQ26" s="7">
        <f t="shared" si="24"/>
        <v>574.31156099480597</v>
      </c>
      <c r="AR26" s="22">
        <f t="shared" si="40"/>
        <v>2871.5578049740298</v>
      </c>
      <c r="AS26" s="7">
        <f t="shared" si="41"/>
        <v>43.7</v>
      </c>
      <c r="AT26" s="7">
        <f t="shared" si="25"/>
        <v>363.86831881066041</v>
      </c>
      <c r="AU26" s="22">
        <f t="shared" si="42"/>
        <v>15901.045532025861</v>
      </c>
      <c r="AW26" s="6">
        <f t="shared" si="26"/>
        <v>204.75</v>
      </c>
      <c r="AY26" t="str">
        <f>IF(Mandarins!$D$17&lt;0,(+M26+Q26+U26+Y26+AB26+AF26+AK26+AN26+AR26+AU26+AW26)*Mandarins!$D$17/100,IF(Mandarins!$D$17&gt;0,(+M26+Q26+U26+Y26+AB26+AF26+AK26+AN26+AR26+AU26+AW26)*Mandarins!$D$17/100,""))</f>
        <v/>
      </c>
      <c r="AZ26" s="22">
        <f t="shared" si="43"/>
        <v>36665.639451421281</v>
      </c>
      <c r="BB26" s="22">
        <f t="shared" si="1"/>
        <v>10849.739266522483</v>
      </c>
      <c r="BC26" s="21">
        <f t="shared" si="2"/>
        <v>19459.851592795749</v>
      </c>
      <c r="BE26" s="6">
        <f t="shared" si="3"/>
        <v>28.636689637031548</v>
      </c>
      <c r="BF26" s="6">
        <f t="shared" si="27"/>
        <v>28.636689637031548</v>
      </c>
      <c r="BH26" s="7">
        <f t="shared" si="45"/>
        <v>228.77819206595129</v>
      </c>
      <c r="BI26" s="7">
        <f t="shared" si="45"/>
        <v>257.98263803675826</v>
      </c>
      <c r="BJ26" s="7">
        <f t="shared" si="45"/>
        <v>227.87253465517611</v>
      </c>
      <c r="BK26" s="7">
        <v>117.29580524087962</v>
      </c>
      <c r="BM26" s="121">
        <f t="shared" si="4"/>
        <v>1.247233134315934</v>
      </c>
      <c r="BN26" s="121">
        <f t="shared" si="5"/>
        <v>1.247233134315934</v>
      </c>
    </row>
    <row r="27" spans="1:66" x14ac:dyDescent="0.2">
      <c r="A27" s="8">
        <f t="shared" si="6"/>
        <v>2041</v>
      </c>
      <c r="B27" s="22">
        <f t="shared" si="7"/>
        <v>1287.1445946140441</v>
      </c>
      <c r="C27" s="52">
        <f t="shared" si="28"/>
        <v>1287.1445946140441</v>
      </c>
      <c r="E27" s="15">
        <f t="shared" si="46"/>
        <v>37.959449920728616</v>
      </c>
      <c r="F27" s="15">
        <f t="shared" si="30"/>
        <v>45</v>
      </c>
      <c r="H27" s="22">
        <f t="shared" si="0"/>
        <v>48859.300779988342</v>
      </c>
      <c r="I27" s="20">
        <f t="shared" si="8"/>
        <v>57921.506757631985</v>
      </c>
      <c r="K27" s="54">
        <f t="shared" si="31"/>
        <v>25</v>
      </c>
      <c r="L27" s="7">
        <f t="shared" si="9"/>
        <v>53.56067922213127</v>
      </c>
      <c r="M27" s="7">
        <f t="shared" si="10"/>
        <v>1339.0169805532817</v>
      </c>
      <c r="O27" s="15">
        <f t="shared" si="32"/>
        <v>6</v>
      </c>
      <c r="P27" s="7">
        <f t="shared" si="11"/>
        <v>12.009648891311034</v>
      </c>
      <c r="Q27" s="7">
        <f t="shared" si="12"/>
        <v>72.057893347866212</v>
      </c>
      <c r="S27" s="15">
        <f t="shared" si="33"/>
        <v>49</v>
      </c>
      <c r="T27" s="7">
        <f t="shared" si="13"/>
        <v>17.343345898922706</v>
      </c>
      <c r="U27" s="7">
        <f t="shared" si="14"/>
        <v>849.82394904721264</v>
      </c>
      <c r="W27" s="14">
        <f t="shared" si="34"/>
        <v>6</v>
      </c>
      <c r="X27" s="7">
        <f t="shared" si="15"/>
        <v>71.127734267068533</v>
      </c>
      <c r="Y27" s="22">
        <f t="shared" si="16"/>
        <v>426.76640560241117</v>
      </c>
      <c r="AA27" s="7">
        <f t="shared" si="17"/>
        <v>46.939013126575226</v>
      </c>
      <c r="AB27" s="6">
        <f t="shared" si="35"/>
        <v>2112.2555906958851</v>
      </c>
      <c r="AD27" s="7">
        <f t="shared" si="36"/>
        <v>60</v>
      </c>
      <c r="AE27" s="7">
        <f t="shared" si="18"/>
        <v>65.714618377205298</v>
      </c>
      <c r="AF27" s="22">
        <f t="shared" si="19"/>
        <v>3942.8771026323179</v>
      </c>
      <c r="AH27" s="15">
        <f t="shared" si="37"/>
        <v>11</v>
      </c>
      <c r="AI27" s="7">
        <f t="shared" si="20"/>
        <v>207.78191313055271</v>
      </c>
      <c r="AJ27" s="7">
        <f t="shared" si="21"/>
        <v>551.63339769173285</v>
      </c>
      <c r="AK27" s="7">
        <f t="shared" si="38"/>
        <v>2837.2344421278131</v>
      </c>
      <c r="AM27" s="7">
        <f t="shared" si="22"/>
        <v>146.4497209549146</v>
      </c>
      <c r="AN27" s="21">
        <f t="shared" si="23"/>
        <v>6590.2374429711572</v>
      </c>
      <c r="AP27" s="7">
        <f t="shared" si="39"/>
        <v>5</v>
      </c>
      <c r="AQ27" s="7">
        <f t="shared" si="24"/>
        <v>592.68953094663971</v>
      </c>
      <c r="AR27" s="22">
        <f t="shared" si="40"/>
        <v>2963.4476547331988</v>
      </c>
      <c r="AS27" s="7">
        <f t="shared" si="41"/>
        <v>43.7</v>
      </c>
      <c r="AT27" s="7">
        <f t="shared" si="25"/>
        <v>375.51210501260152</v>
      </c>
      <c r="AU27" s="22">
        <f t="shared" si="42"/>
        <v>16409.878989050689</v>
      </c>
      <c r="AW27" s="6">
        <f t="shared" si="26"/>
        <v>204.75</v>
      </c>
      <c r="AY27" t="str">
        <f>IF(Mandarins!$D$17&lt;0,(+M27+Q27+U27+Y27+AB27+AF27+AK27+AN27+AR27+AU27+AW27)*Mandarins!$D$17/100,IF(Mandarins!$D$17&gt;0,(+M27+Q27+U27+Y27+AB27+AF27+AK27+AN27+AR27+AU27+AW27)*Mandarins!$D$17/100,""))</f>
        <v/>
      </c>
      <c r="AZ27" s="22">
        <f t="shared" si="43"/>
        <v>37748.346450761834</v>
      </c>
      <c r="BB27" s="22">
        <f t="shared" si="1"/>
        <v>11110.954329226508</v>
      </c>
      <c r="BC27" s="21">
        <f t="shared" si="2"/>
        <v>20173.160306870152</v>
      </c>
      <c r="BE27" s="6">
        <f t="shared" si="3"/>
        <v>28.568925498279533</v>
      </c>
      <c r="BF27" s="6">
        <f t="shared" si="27"/>
        <v>28.568925498279533</v>
      </c>
      <c r="BH27" s="7">
        <f t="shared" ref="BH27:BJ41" si="47">+BH26+(BH26*0.032)</f>
        <v>236.09909421206174</v>
      </c>
      <c r="BI27" s="7">
        <f t="shared" si="47"/>
        <v>266.23808245393451</v>
      </c>
      <c r="BJ27" s="7">
        <f t="shared" si="47"/>
        <v>235.16445576414174</v>
      </c>
      <c r="BK27" s="7">
        <v>117.37891228196852</v>
      </c>
      <c r="BM27" s="121">
        <f t="shared" si="4"/>
        <v>1.2871445946140441</v>
      </c>
      <c r="BN27" s="121">
        <f t="shared" si="5"/>
        <v>1.2871445946140441</v>
      </c>
    </row>
    <row r="28" spans="1:66" x14ac:dyDescent="0.2">
      <c r="A28" s="8">
        <f t="shared" si="6"/>
        <v>2042</v>
      </c>
      <c r="B28" s="22">
        <f t="shared" si="7"/>
        <v>1328.3332216416934</v>
      </c>
      <c r="C28" s="52">
        <f t="shared" si="28"/>
        <v>1328.3332216416934</v>
      </c>
      <c r="E28" s="15">
        <f t="shared" si="46"/>
        <v>37.822764222705402</v>
      </c>
      <c r="F28" s="15">
        <f t="shared" si="30"/>
        <v>45</v>
      </c>
      <c r="H28" s="22">
        <f t="shared" si="0"/>
        <v>50241.234251340444</v>
      </c>
      <c r="I28" s="20">
        <f t="shared" si="8"/>
        <v>59774.994973876201</v>
      </c>
      <c r="K28" s="54">
        <f t="shared" si="31"/>
        <v>25</v>
      </c>
      <c r="L28" s="7">
        <f t="shared" si="9"/>
        <v>53.834913436093487</v>
      </c>
      <c r="M28" s="7">
        <f t="shared" si="10"/>
        <v>1345.8728359023371</v>
      </c>
      <c r="O28" s="15">
        <f t="shared" si="32"/>
        <v>6</v>
      </c>
      <c r="P28" s="7">
        <f t="shared" si="11"/>
        <v>12.071139086571852</v>
      </c>
      <c r="Q28" s="7">
        <f t="shared" si="12"/>
        <v>72.426834519431111</v>
      </c>
      <c r="S28" s="15">
        <f t="shared" si="33"/>
        <v>49</v>
      </c>
      <c r="T28" s="7">
        <f t="shared" si="13"/>
        <v>17.432144975019945</v>
      </c>
      <c r="U28" s="7">
        <f t="shared" si="14"/>
        <v>854.17510377597728</v>
      </c>
      <c r="W28" s="14">
        <f t="shared" si="34"/>
        <v>6</v>
      </c>
      <c r="X28" s="7">
        <f t="shared" si="15"/>
        <v>71.491912962725976</v>
      </c>
      <c r="Y28" s="22">
        <f t="shared" si="16"/>
        <v>428.95147777635589</v>
      </c>
      <c r="AA28" s="7">
        <f t="shared" si="17"/>
        <v>48.441061546625633</v>
      </c>
      <c r="AB28" s="6">
        <f t="shared" si="35"/>
        <v>2179.8477695981537</v>
      </c>
      <c r="AD28" s="7">
        <f t="shared" si="36"/>
        <v>60</v>
      </c>
      <c r="AE28" s="7">
        <f t="shared" si="18"/>
        <v>67.817486165275866</v>
      </c>
      <c r="AF28" s="22">
        <f t="shared" si="19"/>
        <v>4069.0491699165518</v>
      </c>
      <c r="AH28" s="15">
        <f t="shared" si="37"/>
        <v>11</v>
      </c>
      <c r="AI28" s="7">
        <f t="shared" si="20"/>
        <v>214.43093435073038</v>
      </c>
      <c r="AJ28" s="7">
        <f t="shared" si="21"/>
        <v>569.28566641786824</v>
      </c>
      <c r="AK28" s="7">
        <f t="shared" si="38"/>
        <v>2928.0259442759025</v>
      </c>
      <c r="AM28" s="7">
        <f t="shared" si="22"/>
        <v>151.13611202547187</v>
      </c>
      <c r="AN28" s="21">
        <f t="shared" si="23"/>
        <v>6801.1250411462343</v>
      </c>
      <c r="AP28" s="7">
        <f t="shared" si="39"/>
        <v>5</v>
      </c>
      <c r="AQ28" s="7">
        <f t="shared" si="24"/>
        <v>611.65559593693217</v>
      </c>
      <c r="AR28" s="22">
        <f t="shared" si="40"/>
        <v>3058.2779796846607</v>
      </c>
      <c r="AS28" s="7">
        <f t="shared" si="41"/>
        <v>43.7</v>
      </c>
      <c r="AT28" s="7">
        <f t="shared" si="25"/>
        <v>387.52849237300478</v>
      </c>
      <c r="AU28" s="22">
        <f t="shared" si="42"/>
        <v>16934.995116700309</v>
      </c>
      <c r="AW28" s="6">
        <f t="shared" si="26"/>
        <v>204.75</v>
      </c>
      <c r="AY28" t="str">
        <f>IF(Mandarins!$D$17&lt;0,(+M28+Q28+U28+Y28+AB28+AF28+AK28+AN28+AR28+AU28+AW28)*Mandarins!$D$17/100,IF(Mandarins!$D$17&gt;0,(+M28+Q28+U28+Y28+AB28+AF28+AK28+AN28+AR28+AU28+AW28)*Mandarins!$D$17/100,""))</f>
        <v/>
      </c>
      <c r="AZ28" s="22">
        <f t="shared" si="43"/>
        <v>38877.497273295914</v>
      </c>
      <c r="BB28" s="22">
        <f t="shared" si="1"/>
        <v>11363.73697804453</v>
      </c>
      <c r="BC28" s="21">
        <f t="shared" si="2"/>
        <v>20897.497700580287</v>
      </c>
      <c r="BE28" s="6">
        <f t="shared" si="3"/>
        <v>28.512479911578755</v>
      </c>
      <c r="BF28" s="6">
        <f t="shared" si="27"/>
        <v>28.512479911578755</v>
      </c>
      <c r="BH28" s="7">
        <f t="shared" si="47"/>
        <v>243.65426522684771</v>
      </c>
      <c r="BI28" s="7">
        <f t="shared" si="47"/>
        <v>274.75770109246042</v>
      </c>
      <c r="BJ28" s="7">
        <f t="shared" si="47"/>
        <v>242.68971834859428</v>
      </c>
      <c r="BK28" s="7">
        <v>117.9799000627972</v>
      </c>
      <c r="BM28" s="121">
        <f t="shared" si="4"/>
        <v>1.3283332216416934</v>
      </c>
      <c r="BN28" s="121">
        <f t="shared" si="5"/>
        <v>1.3283332216416934</v>
      </c>
    </row>
    <row r="29" spans="1:66" x14ac:dyDescent="0.2">
      <c r="A29" s="8">
        <f t="shared" si="6"/>
        <v>2043</v>
      </c>
      <c r="B29" s="22">
        <f t="shared" si="7"/>
        <v>1370.8398847342278</v>
      </c>
      <c r="C29" s="52">
        <f t="shared" si="28"/>
        <v>1370.8398847342278</v>
      </c>
      <c r="E29" s="15">
        <f t="shared" si="46"/>
        <v>37.686570707263421</v>
      </c>
      <c r="F29" s="15">
        <f t="shared" si="30"/>
        <v>45</v>
      </c>
      <c r="H29" s="22">
        <f t="shared" si="0"/>
        <v>51662.254244373311</v>
      </c>
      <c r="I29" s="20">
        <f t="shared" si="8"/>
        <v>61687.794813040251</v>
      </c>
      <c r="K29" s="54">
        <f t="shared" si="31"/>
        <v>25</v>
      </c>
      <c r="L29" s="7">
        <f t="shared" si="9"/>
        <v>54.272768046092523</v>
      </c>
      <c r="M29" s="7">
        <f t="shared" si="10"/>
        <v>1356.8192011523131</v>
      </c>
      <c r="O29" s="15">
        <f t="shared" si="32"/>
        <v>6</v>
      </c>
      <c r="P29" s="7">
        <f t="shared" si="11"/>
        <v>12.169317082219029</v>
      </c>
      <c r="Q29" s="7">
        <f t="shared" si="12"/>
        <v>73.015902493314172</v>
      </c>
      <c r="S29" s="15">
        <f t="shared" si="33"/>
        <v>49</v>
      </c>
      <c r="T29" s="7">
        <f t="shared" si="13"/>
        <v>17.573925551086898</v>
      </c>
      <c r="U29" s="7">
        <f t="shared" si="14"/>
        <v>861.12235200325802</v>
      </c>
      <c r="W29" s="14">
        <f t="shared" si="34"/>
        <v>6</v>
      </c>
      <c r="X29" s="7">
        <f t="shared" si="15"/>
        <v>72.073376954593229</v>
      </c>
      <c r="Y29" s="22">
        <f t="shared" si="16"/>
        <v>432.44026172755935</v>
      </c>
      <c r="AA29" s="7">
        <f t="shared" si="17"/>
        <v>49.991175516117657</v>
      </c>
      <c r="AB29" s="6">
        <f t="shared" si="35"/>
        <v>2249.6028982252947</v>
      </c>
      <c r="AD29" s="7">
        <f t="shared" si="36"/>
        <v>60</v>
      </c>
      <c r="AE29" s="7">
        <f t="shared" si="18"/>
        <v>69.987645722564693</v>
      </c>
      <c r="AF29" s="22">
        <f t="shared" si="19"/>
        <v>4199.258743353882</v>
      </c>
      <c r="AH29" s="15">
        <f t="shared" si="37"/>
        <v>11</v>
      </c>
      <c r="AI29" s="7">
        <f t="shared" si="20"/>
        <v>221.29272424995375</v>
      </c>
      <c r="AJ29" s="7">
        <f t="shared" si="21"/>
        <v>587.50280774324006</v>
      </c>
      <c r="AK29" s="7">
        <f t="shared" si="38"/>
        <v>3021.7227744927313</v>
      </c>
      <c r="AM29" s="7">
        <f t="shared" si="22"/>
        <v>155.97246761028697</v>
      </c>
      <c r="AN29" s="21">
        <f t="shared" si="23"/>
        <v>7018.7610424629138</v>
      </c>
      <c r="AP29" s="7">
        <f t="shared" si="39"/>
        <v>5</v>
      </c>
      <c r="AQ29" s="7">
        <f t="shared" si="24"/>
        <v>631.22857500691396</v>
      </c>
      <c r="AR29" s="22">
        <f t="shared" si="40"/>
        <v>3156.1428750345699</v>
      </c>
      <c r="AS29" s="7">
        <f t="shared" si="41"/>
        <v>43.7</v>
      </c>
      <c r="AT29" s="7">
        <f t="shared" si="25"/>
        <v>399.92940412894092</v>
      </c>
      <c r="AU29" s="22">
        <f t="shared" si="42"/>
        <v>17476.914960434719</v>
      </c>
      <c r="AW29" s="6">
        <f t="shared" si="26"/>
        <v>204.75</v>
      </c>
      <c r="AY29" t="str">
        <f>IF(Mandarins!$D$17&lt;0,(+M29+Q29+U29+Y29+AB29+AF29+AK29+AN29+AR29+AU29+AW29)*Mandarins!$D$17/100,IF(Mandarins!$D$17&gt;0,(+M29+Q29+U29+Y29+AB29+AF29+AK29+AN29+AR29+AU29+AW29)*Mandarins!$D$17/100,""))</f>
        <v/>
      </c>
      <c r="AZ29" s="22">
        <f t="shared" si="43"/>
        <v>40050.55101138055</v>
      </c>
      <c r="BB29" s="22">
        <f t="shared" si="1"/>
        <v>11611.703232992761</v>
      </c>
      <c r="BC29" s="21">
        <f t="shared" si="2"/>
        <v>21637.243801659701</v>
      </c>
      <c r="BE29" s="6">
        <f t="shared" si="3"/>
        <v>28.463667224545887</v>
      </c>
      <c r="BF29" s="6">
        <f t="shared" si="27"/>
        <v>28.463667224545887</v>
      </c>
      <c r="BH29" s="7">
        <f t="shared" si="47"/>
        <v>251.45120171410684</v>
      </c>
      <c r="BI29" s="7">
        <f t="shared" si="47"/>
        <v>283.54994752741914</v>
      </c>
      <c r="BJ29" s="7">
        <f t="shared" si="47"/>
        <v>250.4557893357493</v>
      </c>
      <c r="BK29" s="7">
        <v>118.93946403035226</v>
      </c>
      <c r="BM29" s="121">
        <f t="shared" si="4"/>
        <v>1.3708398847342278</v>
      </c>
      <c r="BN29" s="121">
        <f t="shared" si="5"/>
        <v>1.3708398847342278</v>
      </c>
    </row>
    <row r="30" spans="1:66" x14ac:dyDescent="0.2">
      <c r="A30" s="8">
        <f t="shared" si="6"/>
        <v>2044</v>
      </c>
      <c r="B30" s="22">
        <f t="shared" si="7"/>
        <v>1414.7067610457229</v>
      </c>
      <c r="C30" s="52">
        <f t="shared" si="28"/>
        <v>1414.7067610457229</v>
      </c>
      <c r="E30" s="15">
        <f t="shared" si="46"/>
        <v>37.550867602134637</v>
      </c>
      <c r="F30" s="15">
        <f t="shared" si="30"/>
        <v>45</v>
      </c>
      <c r="H30" s="22">
        <f t="shared" si="0"/>
        <v>53123.466279872664</v>
      </c>
      <c r="I30" s="20">
        <f t="shared" si="8"/>
        <v>63661.804247057531</v>
      </c>
      <c r="K30" s="54">
        <f t="shared" si="31"/>
        <v>25</v>
      </c>
      <c r="L30" s="7">
        <f t="shared" si="9"/>
        <v>54.889417961109054</v>
      </c>
      <c r="M30" s="7">
        <f t="shared" si="10"/>
        <v>1372.2354490277264</v>
      </c>
      <c r="O30" s="15">
        <f t="shared" si="32"/>
        <v>6</v>
      </c>
      <c r="P30" s="7">
        <f t="shared" si="11"/>
        <v>12.307585473803302</v>
      </c>
      <c r="Q30" s="7">
        <f t="shared" si="12"/>
        <v>73.845512842819815</v>
      </c>
      <c r="S30" s="15">
        <f t="shared" si="33"/>
        <v>49</v>
      </c>
      <c r="T30" s="7">
        <f t="shared" si="13"/>
        <v>17.773601375404187</v>
      </c>
      <c r="U30" s="7">
        <f t="shared" si="14"/>
        <v>870.90646739480519</v>
      </c>
      <c r="W30" s="14">
        <f t="shared" si="34"/>
        <v>6</v>
      </c>
      <c r="X30" s="7">
        <f t="shared" si="15"/>
        <v>72.892278281613414</v>
      </c>
      <c r="Y30" s="22">
        <f t="shared" si="16"/>
        <v>437.35366968968049</v>
      </c>
      <c r="AA30" s="7">
        <f t="shared" si="17"/>
        <v>51.590893132633425</v>
      </c>
      <c r="AB30" s="6">
        <f t="shared" si="35"/>
        <v>2321.590190968504</v>
      </c>
      <c r="AD30" s="7">
        <f t="shared" si="36"/>
        <v>60</v>
      </c>
      <c r="AE30" s="7">
        <f t="shared" si="18"/>
        <v>72.227250385686759</v>
      </c>
      <c r="AF30" s="22">
        <f t="shared" si="19"/>
        <v>4333.6350231412052</v>
      </c>
      <c r="AH30" s="15">
        <f t="shared" si="37"/>
        <v>11</v>
      </c>
      <c r="AI30" s="7">
        <f t="shared" si="20"/>
        <v>228.37409142595226</v>
      </c>
      <c r="AJ30" s="7">
        <f t="shared" si="21"/>
        <v>606.30289759102379</v>
      </c>
      <c r="AK30" s="7">
        <f t="shared" si="38"/>
        <v>3118.4179032764987</v>
      </c>
      <c r="AM30" s="7">
        <f t="shared" si="22"/>
        <v>160.96358657381614</v>
      </c>
      <c r="AN30" s="21">
        <f t="shared" si="23"/>
        <v>7243.3613958217265</v>
      </c>
      <c r="AP30" s="7">
        <f t="shared" si="39"/>
        <v>5</v>
      </c>
      <c r="AQ30" s="7">
        <f t="shared" si="24"/>
        <v>651.42788940713524</v>
      </c>
      <c r="AR30" s="22">
        <f t="shared" si="40"/>
        <v>3257.1394470356763</v>
      </c>
      <c r="AS30" s="7">
        <f t="shared" si="41"/>
        <v>43.7</v>
      </c>
      <c r="AT30" s="7">
        <f t="shared" si="25"/>
        <v>412.72714506106701</v>
      </c>
      <c r="AU30" s="22">
        <f t="shared" si="42"/>
        <v>18036.176239168628</v>
      </c>
      <c r="AW30" s="6">
        <f t="shared" si="26"/>
        <v>204.75</v>
      </c>
      <c r="AY30" t="str">
        <f>IF(Mandarins!$D$17&lt;0,(+M30+Q30+U30+Y30+AB30+AF30+AK30+AN30+AR30+AU30+AW30)*Mandarins!$D$17/100,IF(Mandarins!$D$17&gt;0,(+M30+Q30+U30+Y30+AB30+AF30+AK30+AN30+AR30+AU30+AW30)*Mandarins!$D$17/100,""))</f>
        <v/>
      </c>
      <c r="AZ30" s="22">
        <f t="shared" si="43"/>
        <v>41269.411298367268</v>
      </c>
      <c r="BB30" s="22">
        <f t="shared" si="1"/>
        <v>11854.054981505396</v>
      </c>
      <c r="BC30" s="21">
        <f t="shared" si="2"/>
        <v>22392.392948690263</v>
      </c>
      <c r="BE30" s="6">
        <f t="shared" si="3"/>
        <v>28.422434232765436</v>
      </c>
      <c r="BF30" s="6">
        <f t="shared" si="27"/>
        <v>28.422434232765436</v>
      </c>
      <c r="BH30" s="7">
        <f t="shared" si="47"/>
        <v>259.49764016895824</v>
      </c>
      <c r="BI30" s="7">
        <f t="shared" si="47"/>
        <v>292.62354584829654</v>
      </c>
      <c r="BJ30" s="7">
        <f t="shared" si="47"/>
        <v>258.47037459449325</v>
      </c>
      <c r="BK30" s="7">
        <v>120.29086019139086</v>
      </c>
      <c r="BM30" s="121">
        <f t="shared" si="4"/>
        <v>1.4147067610457229</v>
      </c>
      <c r="BN30" s="121">
        <f t="shared" si="5"/>
        <v>1.4147067610457229</v>
      </c>
    </row>
    <row r="31" spans="1:66" x14ac:dyDescent="0.2">
      <c r="A31" s="8">
        <f t="shared" si="6"/>
        <v>2045</v>
      </c>
      <c r="B31" s="22">
        <f t="shared" si="7"/>
        <v>1459.977377399186</v>
      </c>
      <c r="C31" s="52">
        <f t="shared" si="28"/>
        <v>1459.977377399186</v>
      </c>
      <c r="E31" s="15">
        <f t="shared" si="46"/>
        <v>37.415653141432664</v>
      </c>
      <c r="F31" s="15">
        <f t="shared" si="30"/>
        <v>45</v>
      </c>
      <c r="H31" s="22">
        <f t="shared" si="0"/>
        <v>54626.007147106473</v>
      </c>
      <c r="I31" s="20">
        <f t="shared" si="8"/>
        <v>65698.981982963378</v>
      </c>
      <c r="K31" s="54">
        <f t="shared" si="31"/>
        <v>25</v>
      </c>
      <c r="L31" s="7">
        <f t="shared" si="9"/>
        <v>55.61840839649394</v>
      </c>
      <c r="M31" s="7">
        <f t="shared" si="10"/>
        <v>1390.4602099123485</v>
      </c>
      <c r="O31" s="15">
        <f t="shared" si="32"/>
        <v>6</v>
      </c>
      <c r="P31" s="7">
        <f t="shared" si="11"/>
        <v>12.471043430297605</v>
      </c>
      <c r="Q31" s="7">
        <f t="shared" si="12"/>
        <v>74.826260581785633</v>
      </c>
      <c r="S31" s="15">
        <f t="shared" si="33"/>
        <v>49</v>
      </c>
      <c r="T31" s="7">
        <f t="shared" si="13"/>
        <v>18.009653894929784</v>
      </c>
      <c r="U31" s="7">
        <f t="shared" si="14"/>
        <v>882.4730408515594</v>
      </c>
      <c r="W31" s="14">
        <f t="shared" si="34"/>
        <v>6</v>
      </c>
      <c r="X31" s="7">
        <f t="shared" si="15"/>
        <v>73.860366041595853</v>
      </c>
      <c r="Y31" s="22">
        <f t="shared" si="16"/>
        <v>443.16219624957512</v>
      </c>
      <c r="AA31" s="7">
        <f t="shared" si="17"/>
        <v>53.241801712877695</v>
      </c>
      <c r="AB31" s="6">
        <f t="shared" si="35"/>
        <v>2395.8810770794962</v>
      </c>
      <c r="AD31" s="7">
        <f t="shared" si="36"/>
        <v>60</v>
      </c>
      <c r="AE31" s="7">
        <f t="shared" si="18"/>
        <v>74.538522398028732</v>
      </c>
      <c r="AF31" s="22">
        <f t="shared" si="19"/>
        <v>4472.3113438817236</v>
      </c>
      <c r="AH31" s="15">
        <f t="shared" si="37"/>
        <v>11</v>
      </c>
      <c r="AI31" s="7">
        <f t="shared" si="20"/>
        <v>235.68206235158272</v>
      </c>
      <c r="AJ31" s="7">
        <f t="shared" si="21"/>
        <v>625.70459031393648</v>
      </c>
      <c r="AK31" s="7">
        <f t="shared" si="38"/>
        <v>3218.2072761813465</v>
      </c>
      <c r="AM31" s="7">
        <f t="shared" si="22"/>
        <v>166.11442134417825</v>
      </c>
      <c r="AN31" s="21">
        <f t="shared" si="23"/>
        <v>7475.1489604880217</v>
      </c>
      <c r="AP31" s="7">
        <f t="shared" si="39"/>
        <v>5</v>
      </c>
      <c r="AQ31" s="7">
        <f t="shared" si="24"/>
        <v>672.27358186816366</v>
      </c>
      <c r="AR31" s="22">
        <f t="shared" si="40"/>
        <v>3361.3679093408182</v>
      </c>
      <c r="AS31" s="7">
        <f t="shared" si="41"/>
        <v>43.7</v>
      </c>
      <c r="AT31" s="7">
        <f t="shared" si="25"/>
        <v>425.93441370302116</v>
      </c>
      <c r="AU31" s="22">
        <f t="shared" si="42"/>
        <v>18613.333878822024</v>
      </c>
      <c r="AW31" s="6">
        <f t="shared" si="26"/>
        <v>204.75</v>
      </c>
      <c r="AY31" t="str">
        <f>IF(Mandarins!$D$17&lt;0,(+M31+Q31+U31+Y31+AB31+AF31+AK31+AN31+AR31+AU31+AW31)*Mandarins!$D$17/100,IF(Mandarins!$D$17&gt;0,(+M31+Q31+U31+Y31+AB31+AF31+AK31+AN31+AR31+AU31+AW31)*Mandarins!$D$17/100,""))</f>
        <v/>
      </c>
      <c r="AZ31" s="22">
        <f t="shared" si="43"/>
        <v>42531.922153388703</v>
      </c>
      <c r="BB31" s="22">
        <f t="shared" si="1"/>
        <v>12094.08499371777</v>
      </c>
      <c r="BC31" s="21">
        <f t="shared" si="2"/>
        <v>23167.059829574675</v>
      </c>
      <c r="BE31" s="6">
        <f t="shared" si="3"/>
        <v>28.38578320366129</v>
      </c>
      <c r="BF31" s="6">
        <f t="shared" si="27"/>
        <v>28.38578320366129</v>
      </c>
      <c r="BH31" s="7">
        <f t="shared" si="47"/>
        <v>267.80156465436488</v>
      </c>
      <c r="BI31" s="7">
        <f t="shared" si="47"/>
        <v>301.98749931544205</v>
      </c>
      <c r="BJ31" s="7">
        <f t="shared" si="47"/>
        <v>266.74142658151703</v>
      </c>
      <c r="BK31" s="7">
        <v>121.88845203697896</v>
      </c>
      <c r="BM31" s="121">
        <f t="shared" si="4"/>
        <v>1.459977377399186</v>
      </c>
      <c r="BN31" s="121">
        <f t="shared" si="5"/>
        <v>1.459977377399186</v>
      </c>
    </row>
    <row r="32" spans="1:66" x14ac:dyDescent="0.2">
      <c r="A32" s="8">
        <f t="shared" si="6"/>
        <v>2046</v>
      </c>
      <c r="B32" s="22">
        <f t="shared" si="7"/>
        <v>1506.6966534759599</v>
      </c>
      <c r="C32" s="52">
        <f t="shared" si="28"/>
        <v>1506.6966534759599</v>
      </c>
      <c r="E32" s="15">
        <f t="shared" si="46"/>
        <v>37.280925565629772</v>
      </c>
      <c r="F32" s="15">
        <f t="shared" si="30"/>
        <v>45</v>
      </c>
      <c r="H32" s="22">
        <f t="shared" si="0"/>
        <v>56171.045788220734</v>
      </c>
      <c r="I32" s="20">
        <f t="shared" si="8"/>
        <v>67801.349406418201</v>
      </c>
      <c r="K32" s="54">
        <f t="shared" si="31"/>
        <v>25</v>
      </c>
      <c r="L32" s="7">
        <f t="shared" si="9"/>
        <v>56.455440345767826</v>
      </c>
      <c r="M32" s="7">
        <f t="shared" si="10"/>
        <v>1411.3860086441957</v>
      </c>
      <c r="O32" s="15">
        <f t="shared" si="32"/>
        <v>6</v>
      </c>
      <c r="P32" s="7">
        <f t="shared" si="11"/>
        <v>12.658727006525208</v>
      </c>
      <c r="Q32" s="7">
        <f t="shared" si="12"/>
        <v>75.95236203915124</v>
      </c>
      <c r="S32" s="15">
        <f t="shared" si="33"/>
        <v>49</v>
      </c>
      <c r="T32" s="7">
        <f t="shared" si="13"/>
        <v>18.280691059423173</v>
      </c>
      <c r="U32" s="7">
        <f t="shared" si="14"/>
        <v>895.7538619117355</v>
      </c>
      <c r="W32" s="14">
        <f t="shared" si="34"/>
        <v>6</v>
      </c>
      <c r="X32" s="7">
        <f t="shared" si="15"/>
        <v>74.971931221979133</v>
      </c>
      <c r="Y32" s="22">
        <f t="shared" si="16"/>
        <v>449.8315873318748</v>
      </c>
      <c r="AA32" s="7">
        <f t="shared" si="17"/>
        <v>54.945539367689783</v>
      </c>
      <c r="AB32" s="6">
        <f t="shared" si="35"/>
        <v>2472.54927154604</v>
      </c>
      <c r="AD32" s="7">
        <f t="shared" si="36"/>
        <v>60</v>
      </c>
      <c r="AE32" s="7">
        <f t="shared" si="18"/>
        <v>76.923755114765655</v>
      </c>
      <c r="AF32" s="22">
        <f t="shared" si="19"/>
        <v>4615.4253068859389</v>
      </c>
      <c r="AH32" s="15">
        <f t="shared" si="37"/>
        <v>11</v>
      </c>
      <c r="AI32" s="7">
        <f t="shared" si="20"/>
        <v>243.22388834683335</v>
      </c>
      <c r="AJ32" s="7">
        <f t="shared" si="21"/>
        <v>645.72713720398235</v>
      </c>
      <c r="AK32" s="7">
        <f t="shared" si="38"/>
        <v>3321.1899090191491</v>
      </c>
      <c r="AM32" s="7">
        <f t="shared" si="22"/>
        <v>171.43008282719197</v>
      </c>
      <c r="AN32" s="21">
        <f t="shared" si="23"/>
        <v>7714.3537272236381</v>
      </c>
      <c r="AP32" s="7">
        <f t="shared" si="39"/>
        <v>5</v>
      </c>
      <c r="AQ32" s="7">
        <f t="shared" si="24"/>
        <v>693.78633648794494</v>
      </c>
      <c r="AR32" s="22">
        <f t="shared" si="40"/>
        <v>3468.9316824397247</v>
      </c>
      <c r="AS32" s="7">
        <f t="shared" si="41"/>
        <v>43.7</v>
      </c>
      <c r="AT32" s="7">
        <f t="shared" si="25"/>
        <v>439.56431494151786</v>
      </c>
      <c r="AU32" s="22">
        <f t="shared" si="42"/>
        <v>19208.960562944332</v>
      </c>
      <c r="AW32" s="6">
        <f t="shared" si="26"/>
        <v>204.75</v>
      </c>
      <c r="AY32" t="str">
        <f>IF(Mandarins!$D$17&lt;0,(+M32+Q32+U32+Y32+AB32+AF32+AK32+AN32+AR32+AU32+AW32)*Mandarins!$D$17/100,IF(Mandarins!$D$17&gt;0,(+M32+Q32+U32+Y32+AB32+AF32+AK32+AN32+AR32+AU32+AW32)*Mandarins!$D$17/100,""))</f>
        <v/>
      </c>
      <c r="AZ32" s="22">
        <f t="shared" si="43"/>
        <v>43839.084279985778</v>
      </c>
      <c r="BB32" s="22">
        <f t="shared" si="1"/>
        <v>12331.961508234956</v>
      </c>
      <c r="BC32" s="21">
        <f t="shared" si="2"/>
        <v>23962.265126432423</v>
      </c>
      <c r="BE32" s="6">
        <f t="shared" si="3"/>
        <v>28.353196776241589</v>
      </c>
      <c r="BF32" s="6">
        <f t="shared" si="27"/>
        <v>28.353196776241589</v>
      </c>
      <c r="BH32" s="7">
        <f t="shared" si="47"/>
        <v>276.37121472330455</v>
      </c>
      <c r="BI32" s="7">
        <f t="shared" si="47"/>
        <v>311.65109929353622</v>
      </c>
      <c r="BJ32" s="7">
        <f t="shared" si="47"/>
        <v>275.27715223212556</v>
      </c>
      <c r="BK32" s="7">
        <v>123.72281823953503</v>
      </c>
      <c r="BM32" s="121">
        <f t="shared" si="4"/>
        <v>1.5066966534759598</v>
      </c>
      <c r="BN32" s="121">
        <f t="shared" si="5"/>
        <v>1.5066966534759598</v>
      </c>
    </row>
    <row r="33" spans="1:66" x14ac:dyDescent="0.2">
      <c r="A33" s="8">
        <f t="shared" si="6"/>
        <v>2047</v>
      </c>
      <c r="B33" s="22">
        <f t="shared" si="7"/>
        <v>1554.9109463871907</v>
      </c>
      <c r="C33" s="52">
        <f t="shared" si="28"/>
        <v>1554.9109463871907</v>
      </c>
      <c r="E33" s="15">
        <f t="shared" si="46"/>
        <v>37.146683121534004</v>
      </c>
      <c r="F33" s="15">
        <f t="shared" si="30"/>
        <v>45</v>
      </c>
      <c r="H33" s="22">
        <f t="shared" si="0"/>
        <v>57759.784207649522</v>
      </c>
      <c r="I33" s="20">
        <f t="shared" si="8"/>
        <v>69970.992587423578</v>
      </c>
      <c r="K33" s="54">
        <f t="shared" si="31"/>
        <v>25</v>
      </c>
      <c r="L33" s="7">
        <f t="shared" si="9"/>
        <v>57.33844777033049</v>
      </c>
      <c r="M33" s="7">
        <f t="shared" si="10"/>
        <v>1433.4611942582621</v>
      </c>
      <c r="O33" s="15">
        <f t="shared" si="32"/>
        <v>6</v>
      </c>
      <c r="P33" s="7">
        <f t="shared" si="11"/>
        <v>12.85671943850013</v>
      </c>
      <c r="Q33" s="7">
        <f t="shared" si="12"/>
        <v>77.140316631000786</v>
      </c>
      <c r="S33" s="15">
        <f t="shared" si="33"/>
        <v>49</v>
      </c>
      <c r="T33" s="7">
        <f t="shared" si="13"/>
        <v>18.566615424422253</v>
      </c>
      <c r="U33" s="7">
        <f t="shared" si="14"/>
        <v>909.76415579669037</v>
      </c>
      <c r="W33" s="14">
        <f t="shared" si="34"/>
        <v>6</v>
      </c>
      <c r="X33" s="7">
        <f t="shared" si="15"/>
        <v>76.144551105861979</v>
      </c>
      <c r="Y33" s="22">
        <f t="shared" si="16"/>
        <v>456.86730663517187</v>
      </c>
      <c r="AA33" s="7">
        <f t="shared" si="17"/>
        <v>56.703796627455858</v>
      </c>
      <c r="AB33" s="6">
        <f t="shared" si="35"/>
        <v>2551.6708482355134</v>
      </c>
      <c r="AD33" s="7">
        <f t="shared" si="36"/>
        <v>60</v>
      </c>
      <c r="AE33" s="7">
        <f t="shared" si="18"/>
        <v>79.385315278438156</v>
      </c>
      <c r="AF33" s="22">
        <f t="shared" si="19"/>
        <v>4763.1189167062894</v>
      </c>
      <c r="AH33" s="15">
        <f t="shared" si="37"/>
        <v>11</v>
      </c>
      <c r="AI33" s="7">
        <f t="shared" si="20"/>
        <v>251.007052773932</v>
      </c>
      <c r="AJ33" s="7">
        <f t="shared" si="21"/>
        <v>666.39040559450984</v>
      </c>
      <c r="AK33" s="7">
        <f t="shared" si="38"/>
        <v>3427.467986107762</v>
      </c>
      <c r="AM33" s="7">
        <f t="shared" si="22"/>
        <v>176.91584547766212</v>
      </c>
      <c r="AN33" s="21">
        <f t="shared" si="23"/>
        <v>7961.213046494795</v>
      </c>
      <c r="AP33" s="7">
        <f t="shared" si="39"/>
        <v>5</v>
      </c>
      <c r="AQ33" s="7">
        <f t="shared" si="24"/>
        <v>715.9874992555591</v>
      </c>
      <c r="AR33" s="22">
        <f t="shared" si="40"/>
        <v>3579.9374962777956</v>
      </c>
      <c r="AS33" s="7">
        <f t="shared" si="41"/>
        <v>43.7</v>
      </c>
      <c r="AT33" s="7">
        <f t="shared" si="25"/>
        <v>453.63037301964641</v>
      </c>
      <c r="AU33" s="22">
        <f t="shared" si="42"/>
        <v>19823.64730095855</v>
      </c>
      <c r="AW33" s="6">
        <f t="shared" si="26"/>
        <v>204.75</v>
      </c>
      <c r="AY33" t="str">
        <f>IF(Mandarins!$D$17&lt;0,(+M33+Q33+U33+Y33+AB33+AF33+AK33+AN33+AR33+AU33+AW33)*Mandarins!$D$17/100,IF(Mandarins!$D$17&gt;0,(+M33+Q33+U33+Y33+AB33+AF33+AK33+AN33+AR33+AU33+AW33)*Mandarins!$D$17/100,""))</f>
        <v/>
      </c>
      <c r="AZ33" s="22">
        <f t="shared" si="43"/>
        <v>45189.038568101823</v>
      </c>
      <c r="BB33" s="22">
        <f t="shared" si="1"/>
        <v>12570.745639547698</v>
      </c>
      <c r="BC33" s="21">
        <f t="shared" si="2"/>
        <v>24781.954019321754</v>
      </c>
      <c r="BE33" s="6">
        <f t="shared" si="3"/>
        <v>28.322263531228757</v>
      </c>
      <c r="BF33" s="6">
        <f t="shared" si="27"/>
        <v>28.322263531228757</v>
      </c>
      <c r="BH33" s="7">
        <f t="shared" si="47"/>
        <v>285.21509359445031</v>
      </c>
      <c r="BI33" s="7">
        <f t="shared" si="47"/>
        <v>321.62393447092938</v>
      </c>
      <c r="BJ33" s="7">
        <f t="shared" si="47"/>
        <v>284.08602110355355</v>
      </c>
      <c r="BK33" s="7">
        <v>125.65794028311885</v>
      </c>
      <c r="BM33" s="121">
        <f t="shared" si="4"/>
        <v>1.5549109463871906</v>
      </c>
      <c r="BN33" s="121">
        <f t="shared" si="5"/>
        <v>1.5549109463871906</v>
      </c>
    </row>
    <row r="34" spans="1:66" x14ac:dyDescent="0.2">
      <c r="A34" s="8">
        <f t="shared" si="6"/>
        <v>2048</v>
      </c>
      <c r="B34" s="22">
        <f t="shared" si="7"/>
        <v>1604.6680966715808</v>
      </c>
      <c r="C34" s="52">
        <f t="shared" si="28"/>
        <v>1604.6680966715808</v>
      </c>
      <c r="E34" s="15">
        <f t="shared" si="46"/>
        <v>37.012924062266357</v>
      </c>
      <c r="F34" s="15">
        <f t="shared" si="30"/>
        <v>45</v>
      </c>
      <c r="H34" s="22">
        <f t="shared" si="0"/>
        <v>59393.458407246711</v>
      </c>
      <c r="I34" s="20">
        <f t="shared" si="8"/>
        <v>72210.064350221131</v>
      </c>
      <c r="K34" s="54">
        <f t="shared" si="31"/>
        <v>25</v>
      </c>
      <c r="L34" s="7">
        <f t="shared" si="9"/>
        <v>58.251667414003172</v>
      </c>
      <c r="M34" s="7">
        <f t="shared" si="10"/>
        <v>1456.2916853500792</v>
      </c>
      <c r="O34" s="15">
        <f t="shared" si="32"/>
        <v>6</v>
      </c>
      <c r="P34" s="7">
        <f t="shared" si="11"/>
        <v>13.06148620845971</v>
      </c>
      <c r="Q34" s="7">
        <f t="shared" si="12"/>
        <v>78.368917250758258</v>
      </c>
      <c r="S34" s="15">
        <f t="shared" si="33"/>
        <v>49</v>
      </c>
      <c r="T34" s="7">
        <f t="shared" si="13"/>
        <v>18.862322730452117</v>
      </c>
      <c r="U34" s="7">
        <f t="shared" si="14"/>
        <v>924.25381379215378</v>
      </c>
      <c r="W34" s="14">
        <f t="shared" si="34"/>
        <v>6</v>
      </c>
      <c r="X34" s="7">
        <f t="shared" si="15"/>
        <v>77.35729233853435</v>
      </c>
      <c r="Y34" s="22">
        <f t="shared" si="16"/>
        <v>464.14375403120607</v>
      </c>
      <c r="AA34" s="7">
        <f t="shared" si="17"/>
        <v>58.518318119534449</v>
      </c>
      <c r="AB34" s="6">
        <f t="shared" si="35"/>
        <v>2633.3243153790504</v>
      </c>
      <c r="AD34" s="7">
        <f t="shared" si="36"/>
        <v>60</v>
      </c>
      <c r="AE34" s="7">
        <f t="shared" si="18"/>
        <v>81.925645367348181</v>
      </c>
      <c r="AF34" s="22">
        <f t="shared" si="19"/>
        <v>4915.5387220408911</v>
      </c>
      <c r="AH34" s="15">
        <f t="shared" si="37"/>
        <v>11</v>
      </c>
      <c r="AI34" s="7">
        <f t="shared" si="20"/>
        <v>259.03927846269784</v>
      </c>
      <c r="AJ34" s="7">
        <f t="shared" si="21"/>
        <v>687.71489857353413</v>
      </c>
      <c r="AK34" s="7">
        <f t="shared" si="38"/>
        <v>3537.1469616632103</v>
      </c>
      <c r="AM34" s="7">
        <f t="shared" si="22"/>
        <v>182.57715253294731</v>
      </c>
      <c r="AN34" s="21">
        <f t="shared" si="23"/>
        <v>8215.9718639826297</v>
      </c>
      <c r="AP34" s="7">
        <f t="shared" si="39"/>
        <v>5</v>
      </c>
      <c r="AQ34" s="7">
        <f t="shared" si="24"/>
        <v>738.89909923173695</v>
      </c>
      <c r="AR34" s="22">
        <f t="shared" si="40"/>
        <v>3694.4954961586845</v>
      </c>
      <c r="AS34" s="7">
        <f t="shared" si="41"/>
        <v>43.7</v>
      </c>
      <c r="AT34" s="7">
        <f t="shared" si="25"/>
        <v>468.14654495627508</v>
      </c>
      <c r="AU34" s="22">
        <f t="shared" si="42"/>
        <v>20458.004014589224</v>
      </c>
      <c r="AW34" s="6">
        <f t="shared" si="26"/>
        <v>204.75</v>
      </c>
      <c r="AY34" t="str">
        <f>IF(Mandarins!$D$17&lt;0,(+M34+Q34+U34+Y34+AB34+AF34+AK34+AN34+AR34+AU34+AW34)*Mandarins!$D$17/100,IF(Mandarins!$D$17&gt;0,(+M34+Q34+U34+Y34+AB34+AF34+AK34+AN34+AR34+AU34+AW34)*Mandarins!$D$17/100,""))</f>
        <v/>
      </c>
      <c r="AZ34" s="22">
        <f t="shared" si="43"/>
        <v>46582.289544237879</v>
      </c>
      <c r="BB34" s="22">
        <f t="shared" si="1"/>
        <v>12811.168863008832</v>
      </c>
      <c r="BC34" s="21">
        <f t="shared" si="2"/>
        <v>25627.774805983252</v>
      </c>
      <c r="BE34" s="6">
        <f t="shared" si="3"/>
        <v>28.292352937388028</v>
      </c>
      <c r="BF34" s="6">
        <f t="shared" si="27"/>
        <v>28.292352937388028</v>
      </c>
      <c r="BH34" s="7">
        <f t="shared" si="47"/>
        <v>294.34197658947272</v>
      </c>
      <c r="BI34" s="7">
        <f t="shared" si="47"/>
        <v>331.91590037399914</v>
      </c>
      <c r="BJ34" s="7">
        <f t="shared" si="47"/>
        <v>293.17677377886724</v>
      </c>
      <c r="BK34" s="7">
        <v>127.65927279057767</v>
      </c>
      <c r="BM34" s="121">
        <f t="shared" si="4"/>
        <v>1.6046680966715807</v>
      </c>
      <c r="BN34" s="121">
        <f t="shared" si="5"/>
        <v>1.6046680966715807</v>
      </c>
    </row>
    <row r="35" spans="1:66" x14ac:dyDescent="0.2">
      <c r="A35" s="8">
        <f t="shared" si="6"/>
        <v>2049</v>
      </c>
      <c r="B35" s="22">
        <f t="shared" si="7"/>
        <v>1656.0174757650716</v>
      </c>
      <c r="C35" s="52">
        <f t="shared" si="28"/>
        <v>1656.0174757650716</v>
      </c>
      <c r="E35" s="15">
        <f t="shared" si="46"/>
        <v>36.879646647238054</v>
      </c>
      <c r="F35" s="15">
        <f t="shared" si="30"/>
        <v>45</v>
      </c>
      <c r="H35" s="22">
        <f t="shared" si="0"/>
        <v>61073.339347866946</v>
      </c>
      <c r="I35" s="20">
        <f t="shared" si="8"/>
        <v>74520.786409428227</v>
      </c>
      <c r="K35" s="54">
        <f t="shared" si="31"/>
        <v>25</v>
      </c>
      <c r="L35" s="7">
        <f t="shared" si="9"/>
        <v>59.140102194998981</v>
      </c>
      <c r="M35" s="7">
        <f t="shared" si="10"/>
        <v>1478.5025548749745</v>
      </c>
      <c r="O35" s="15">
        <f t="shared" si="32"/>
        <v>6</v>
      </c>
      <c r="P35" s="7">
        <f t="shared" si="11"/>
        <v>13.260695589997571</v>
      </c>
      <c r="Q35" s="7">
        <f t="shared" si="12"/>
        <v>79.564173539985433</v>
      </c>
      <c r="S35" s="15">
        <f t="shared" si="33"/>
        <v>49</v>
      </c>
      <c r="T35" s="7">
        <f t="shared" si="13"/>
        <v>19.150004513790616</v>
      </c>
      <c r="U35" s="7">
        <f t="shared" si="14"/>
        <v>938.35022117574022</v>
      </c>
      <c r="W35" s="14">
        <f t="shared" si="34"/>
        <v>6</v>
      </c>
      <c r="X35" s="7">
        <f t="shared" si="15"/>
        <v>78.5371196658581</v>
      </c>
      <c r="Y35" s="22">
        <f t="shared" si="16"/>
        <v>471.22271799514863</v>
      </c>
      <c r="AA35" s="7">
        <f t="shared" si="17"/>
        <v>60.390904299359555</v>
      </c>
      <c r="AB35" s="6">
        <f t="shared" si="35"/>
        <v>2717.5906934711797</v>
      </c>
      <c r="AD35" s="7">
        <f t="shared" si="36"/>
        <v>60</v>
      </c>
      <c r="AE35" s="7">
        <f t="shared" si="18"/>
        <v>84.547266019103319</v>
      </c>
      <c r="AF35" s="22">
        <f t="shared" si="19"/>
        <v>5072.8359611461992</v>
      </c>
      <c r="AH35" s="15">
        <f t="shared" si="37"/>
        <v>11</v>
      </c>
      <c r="AI35" s="7">
        <f t="shared" si="20"/>
        <v>267.32853537350417</v>
      </c>
      <c r="AJ35" s="7">
        <f t="shared" si="21"/>
        <v>709.72177532788726</v>
      </c>
      <c r="AK35" s="7">
        <f t="shared" si="38"/>
        <v>3650.335664436433</v>
      </c>
      <c r="AM35" s="7">
        <f t="shared" si="22"/>
        <v>188.41962141400163</v>
      </c>
      <c r="AN35" s="21">
        <f t="shared" si="23"/>
        <v>8478.8829636300725</v>
      </c>
      <c r="AP35" s="7">
        <f t="shared" si="39"/>
        <v>5</v>
      </c>
      <c r="AQ35" s="7">
        <f t="shared" si="24"/>
        <v>762.54387040715255</v>
      </c>
      <c r="AR35" s="22">
        <f t="shared" si="40"/>
        <v>3812.7193520357628</v>
      </c>
      <c r="AS35" s="7">
        <f t="shared" si="41"/>
        <v>43.7</v>
      </c>
      <c r="AT35" s="7">
        <f t="shared" si="25"/>
        <v>483.12723439487587</v>
      </c>
      <c r="AU35" s="22">
        <f t="shared" si="42"/>
        <v>21112.660143056077</v>
      </c>
      <c r="AW35" s="6">
        <f t="shared" si="26"/>
        <v>204.75</v>
      </c>
      <c r="AY35" t="str">
        <f>IF(Mandarins!$D$17&lt;0,(+M35+Q35+U35+Y35+AB35+AF35+AK35+AN35+AR35+AU35+AW35)*Mandarins!$D$17/100,IF(Mandarins!$D$17&gt;0,(+M35+Q35+U35+Y35+AB35+AF35+AK35+AN35+AR35+AU35+AW35)*Mandarins!$D$17/100,""))</f>
        <v/>
      </c>
      <c r="AZ35" s="22">
        <f t="shared" si="43"/>
        <v>48017.414445361574</v>
      </c>
      <c r="BB35" s="22">
        <f t="shared" si="1"/>
        <v>13055.924902505372</v>
      </c>
      <c r="BC35" s="21">
        <f t="shared" si="2"/>
        <v>26503.371964066653</v>
      </c>
      <c r="BE35" s="6">
        <f t="shared" si="3"/>
        <v>28.261671344860421</v>
      </c>
      <c r="BF35" s="6">
        <f t="shared" si="27"/>
        <v>28.261671344860421</v>
      </c>
      <c r="BH35" s="7">
        <f t="shared" si="47"/>
        <v>303.76091984033587</v>
      </c>
      <c r="BI35" s="7">
        <f t="shared" si="47"/>
        <v>342.53720918596713</v>
      </c>
      <c r="BJ35" s="7">
        <f t="shared" si="47"/>
        <v>302.558430539791</v>
      </c>
      <c r="BK35" s="7">
        <v>129.60628895507148</v>
      </c>
      <c r="BM35" s="121">
        <f t="shared" si="4"/>
        <v>1.6560174757650716</v>
      </c>
      <c r="BN35" s="121">
        <f t="shared" si="5"/>
        <v>1.6560174757650716</v>
      </c>
    </row>
    <row r="36" spans="1:66" x14ac:dyDescent="0.2">
      <c r="A36" s="8">
        <f t="shared" si="6"/>
        <v>2050</v>
      </c>
      <c r="B36" s="22">
        <f t="shared" si="7"/>
        <v>1709.0100349895538</v>
      </c>
      <c r="C36" s="52">
        <f t="shared" si="28"/>
        <v>1709.0100349895538</v>
      </c>
      <c r="E36" s="15">
        <f t="shared" si="46"/>
        <v>36.746849142127886</v>
      </c>
      <c r="F36" s="15">
        <f t="shared" si="30"/>
        <v>45</v>
      </c>
      <c r="H36" s="22">
        <f t="shared" si="0"/>
        <v>62800.733938143829</v>
      </c>
      <c r="I36" s="20">
        <f t="shared" si="8"/>
        <v>76905.451574529914</v>
      </c>
      <c r="K36" s="54">
        <f t="shared" si="31"/>
        <v>25</v>
      </c>
      <c r="L36" s="7">
        <f t="shared" si="9"/>
        <v>59.986021954257183</v>
      </c>
      <c r="M36" s="7">
        <f t="shared" si="10"/>
        <v>1499.6505488564296</v>
      </c>
      <c r="O36" s="15">
        <f t="shared" si="32"/>
        <v>6</v>
      </c>
      <c r="P36" s="7">
        <f t="shared" si="11"/>
        <v>13.450372036346959</v>
      </c>
      <c r="Q36" s="7">
        <f t="shared" si="12"/>
        <v>80.702232218081747</v>
      </c>
      <c r="S36" s="15">
        <f t="shared" si="33"/>
        <v>49</v>
      </c>
      <c r="T36" s="7">
        <f t="shared" si="13"/>
        <v>19.423919617195175</v>
      </c>
      <c r="U36" s="7">
        <f t="shared" si="14"/>
        <v>951.77206124256361</v>
      </c>
      <c r="W36" s="14">
        <f t="shared" si="34"/>
        <v>6</v>
      </c>
      <c r="X36" s="7">
        <f t="shared" si="15"/>
        <v>79.660487717227369</v>
      </c>
      <c r="Y36" s="22">
        <f t="shared" si="16"/>
        <v>477.96292630336421</v>
      </c>
      <c r="AA36" s="7">
        <f t="shared" si="17"/>
        <v>62.323413236939061</v>
      </c>
      <c r="AB36" s="6">
        <f t="shared" si="35"/>
        <v>2804.5535956622575</v>
      </c>
      <c r="AD36" s="7">
        <f t="shared" si="36"/>
        <v>60</v>
      </c>
      <c r="AE36" s="7">
        <f t="shared" si="18"/>
        <v>87.252778531714625</v>
      </c>
      <c r="AF36" s="22">
        <f t="shared" si="19"/>
        <v>5235.1667119028771</v>
      </c>
      <c r="AH36" s="15">
        <f t="shared" si="37"/>
        <v>11</v>
      </c>
      <c r="AI36" s="7">
        <f t="shared" si="20"/>
        <v>275.88304850545632</v>
      </c>
      <c r="AJ36" s="7">
        <f t="shared" si="21"/>
        <v>732.43287213837971</v>
      </c>
      <c r="AK36" s="7">
        <f t="shared" si="38"/>
        <v>3767.1464056983996</v>
      </c>
      <c r="AM36" s="7">
        <f t="shared" si="22"/>
        <v>194.44904929924968</v>
      </c>
      <c r="AN36" s="21">
        <f t="shared" si="23"/>
        <v>8750.2072184662356</v>
      </c>
      <c r="AP36" s="7">
        <f t="shared" si="39"/>
        <v>5</v>
      </c>
      <c r="AQ36" s="7">
        <f t="shared" si="24"/>
        <v>786.94527426018135</v>
      </c>
      <c r="AR36" s="22">
        <f t="shared" si="40"/>
        <v>3934.726371300907</v>
      </c>
      <c r="AS36" s="7">
        <f t="shared" si="41"/>
        <v>43.7</v>
      </c>
      <c r="AT36" s="7">
        <f t="shared" si="25"/>
        <v>498.58730589551192</v>
      </c>
      <c r="AU36" s="22">
        <f t="shared" si="42"/>
        <v>21788.265267633873</v>
      </c>
      <c r="AW36" s="6">
        <f t="shared" si="26"/>
        <v>204.75</v>
      </c>
      <c r="AY36" t="str">
        <f>IF(Mandarins!$D$17&lt;0,(+M36+Q36+U36+Y36+AB36+AF36+AK36+AN36+AR36+AU36+AW36)*Mandarins!$D$17/100,IF(Mandarins!$D$17&gt;0,(+M36+Q36+U36+Y36+AB36+AF36+AK36+AN36+AR36+AU36+AW36)*Mandarins!$D$17/100,""))</f>
        <v/>
      </c>
      <c r="AZ36" s="22">
        <f t="shared" si="43"/>
        <v>49494.903339284996</v>
      </c>
      <c r="BB36" s="22">
        <f t="shared" si="1"/>
        <v>13305.830598858833</v>
      </c>
      <c r="BC36" s="21">
        <f t="shared" si="2"/>
        <v>27410.548235244918</v>
      </c>
      <c r="BE36" s="6">
        <f t="shared" si="3"/>
        <v>28.229779199971158</v>
      </c>
      <c r="BF36" s="6">
        <f t="shared" si="27"/>
        <v>28.229779199971158</v>
      </c>
      <c r="BH36" s="7">
        <f t="shared" si="47"/>
        <v>313.48126927522662</v>
      </c>
      <c r="BI36" s="7">
        <f t="shared" si="47"/>
        <v>353.49839987991805</v>
      </c>
      <c r="BJ36" s="7">
        <f t="shared" si="47"/>
        <v>312.24030031706434</v>
      </c>
      <c r="BK36" s="7">
        <v>131.46013290667179</v>
      </c>
      <c r="BM36" s="121">
        <f t="shared" si="4"/>
        <v>1.7090100349895538</v>
      </c>
      <c r="BN36" s="121">
        <f t="shared" si="5"/>
        <v>1.7090100349895538</v>
      </c>
    </row>
    <row r="37" spans="1:66" s="100" customFormat="1" x14ac:dyDescent="0.2">
      <c r="A37" s="100">
        <f t="shared" si="6"/>
        <v>2051</v>
      </c>
      <c r="B37" s="112">
        <f t="shared" si="7"/>
        <v>1763.6983561092195</v>
      </c>
      <c r="C37" s="52">
        <f t="shared" si="28"/>
        <v>1763.6983561092195</v>
      </c>
      <c r="E37" s="110">
        <f t="shared" si="46"/>
        <v>36.614529818859644</v>
      </c>
      <c r="F37" s="15">
        <f t="shared" si="30"/>
        <v>45</v>
      </c>
      <c r="H37" s="112">
        <f t="shared" si="0"/>
        <v>64576.986051234751</v>
      </c>
      <c r="I37" s="20">
        <f t="shared" si="8"/>
        <v>79366.426024914879</v>
      </c>
      <c r="K37" s="105">
        <f t="shared" si="31"/>
        <v>25</v>
      </c>
      <c r="L37" s="111">
        <f t="shared" si="9"/>
        <v>60.747674837736326</v>
      </c>
      <c r="M37" s="111">
        <f t="shared" si="10"/>
        <v>1518.691870943408</v>
      </c>
      <c r="O37" s="110">
        <f t="shared" si="32"/>
        <v>6</v>
      </c>
      <c r="P37" s="111">
        <f t="shared" si="11"/>
        <v>13.621153733675763</v>
      </c>
      <c r="Q37" s="111">
        <f t="shared" si="12"/>
        <v>81.726922402054583</v>
      </c>
      <c r="S37" s="110">
        <f t="shared" si="33"/>
        <v>49</v>
      </c>
      <c r="T37" s="111">
        <f t="shared" si="13"/>
        <v>19.670548480102358</v>
      </c>
      <c r="U37" s="111">
        <f t="shared" si="14"/>
        <v>963.85687552501554</v>
      </c>
      <c r="W37" s="109">
        <f t="shared" si="34"/>
        <v>6</v>
      </c>
      <c r="X37" s="111">
        <f t="shared" si="15"/>
        <v>80.671950691309036</v>
      </c>
      <c r="Y37" s="112">
        <f t="shared" si="16"/>
        <v>484.03170414785421</v>
      </c>
      <c r="AA37" s="111">
        <f t="shared" si="17"/>
        <v>64.317762460521109</v>
      </c>
      <c r="AB37" s="6">
        <f t="shared" si="35"/>
        <v>2894.2993107234497</v>
      </c>
      <c r="AD37" s="111">
        <f t="shared" si="36"/>
        <v>60</v>
      </c>
      <c r="AE37" s="111">
        <f t="shared" si="18"/>
        <v>90.044867444729491</v>
      </c>
      <c r="AF37" s="112">
        <f t="shared" si="19"/>
        <v>5402.6920466837691</v>
      </c>
      <c r="AH37" s="110">
        <f t="shared" si="37"/>
        <v>11</v>
      </c>
      <c r="AI37" s="111">
        <f t="shared" si="20"/>
        <v>284.71130605763091</v>
      </c>
      <c r="AJ37" s="111">
        <f t="shared" si="21"/>
        <v>755.87072404680794</v>
      </c>
      <c r="AK37" s="111">
        <f t="shared" si="38"/>
        <v>3887.6950906807479</v>
      </c>
      <c r="AM37" s="111">
        <f t="shared" si="22"/>
        <v>200.67141887682567</v>
      </c>
      <c r="AN37" s="21">
        <f t="shared" si="23"/>
        <v>9030.2138494571554</v>
      </c>
      <c r="AP37" s="111">
        <f t="shared" si="39"/>
        <v>5</v>
      </c>
      <c r="AQ37" s="111">
        <f t="shared" si="24"/>
        <v>812.12752303650723</v>
      </c>
      <c r="AR37" s="112">
        <f t="shared" si="40"/>
        <v>4060.6376151825361</v>
      </c>
      <c r="AS37" s="111">
        <f t="shared" si="41"/>
        <v>43.7</v>
      </c>
      <c r="AT37" s="111">
        <f t="shared" si="25"/>
        <v>514.54209968416831</v>
      </c>
      <c r="AU37" s="112">
        <f t="shared" si="42"/>
        <v>22485.489756198156</v>
      </c>
      <c r="AW37" s="6">
        <f t="shared" si="26"/>
        <v>204.75</v>
      </c>
      <c r="AY37" s="100" t="str">
        <f>IF(Mandarins!$D$17&lt;0,(+M37+Q37+U37+Y37+AB37+AF37+AK37+AN37+AR37+AU37+AW37)*Mandarins!$D$17/100,IF(Mandarins!$D$17&gt;0,(+M37+Q37+U37+Y37+AB37+AF37+AK37+AN37+AR37+AU37+AW37)*Mandarins!$D$17/100,""))</f>
        <v/>
      </c>
      <c r="AZ37" s="112">
        <f t="shared" si="43"/>
        <v>51014.085041944141</v>
      </c>
      <c r="BB37" s="112">
        <f t="shared" si="1"/>
        <v>13562.90100929061</v>
      </c>
      <c r="BC37" s="112">
        <f t="shared" si="2"/>
        <v>28352.340982970738</v>
      </c>
      <c r="BE37" s="111">
        <f t="shared" si="3"/>
        <v>28.195588386909552</v>
      </c>
      <c r="BF37" s="111">
        <f t="shared" si="27"/>
        <v>28.195588386909552</v>
      </c>
      <c r="BH37" s="111">
        <f t="shared" si="47"/>
        <v>323.5126698920339</v>
      </c>
      <c r="BI37" s="111">
        <f t="shared" si="47"/>
        <v>364.81034867607542</v>
      </c>
      <c r="BJ37" s="111">
        <f t="shared" si="47"/>
        <v>322.23198992721041</v>
      </c>
      <c r="BK37" s="111">
        <v>133.12930492423399</v>
      </c>
      <c r="BM37" s="125">
        <f t="shared" si="4"/>
        <v>1.7636983561092194</v>
      </c>
      <c r="BN37" s="125">
        <f t="shared" si="5"/>
        <v>1.7636983561092194</v>
      </c>
    </row>
    <row r="38" spans="1:66" s="100" customFormat="1" x14ac:dyDescent="0.2">
      <c r="A38" s="100">
        <f t="shared" si="6"/>
        <v>2052</v>
      </c>
      <c r="B38" s="112">
        <f t="shared" si="7"/>
        <v>1820.1367035047147</v>
      </c>
      <c r="C38" s="52">
        <f t="shared" si="28"/>
        <v>1820.1367035047147</v>
      </c>
      <c r="E38" s="110">
        <f t="shared" si="46"/>
        <v>36.482686955579645</v>
      </c>
      <c r="F38" s="15">
        <f t="shared" si="30"/>
        <v>45</v>
      </c>
      <c r="H38" s="112">
        <f t="shared" si="0"/>
        <v>66403.477570323186</v>
      </c>
      <c r="I38" s="20">
        <f t="shared" si="8"/>
        <v>81906.151657712166</v>
      </c>
      <c r="K38" s="105">
        <f t="shared" si="31"/>
        <v>25</v>
      </c>
      <c r="L38" s="111">
        <f t="shared" si="9"/>
        <v>61.415065262904882</v>
      </c>
      <c r="M38" s="111">
        <f t="shared" si="10"/>
        <v>1535.376631572622</v>
      </c>
      <c r="O38" s="110">
        <f t="shared" si="32"/>
        <v>6</v>
      </c>
      <c r="P38" s="111">
        <f t="shared" si="11"/>
        <v>13.770799421447126</v>
      </c>
      <c r="Q38" s="111">
        <f t="shared" si="12"/>
        <v>82.624796528682765</v>
      </c>
      <c r="S38" s="110">
        <f t="shared" si="33"/>
        <v>49</v>
      </c>
      <c r="T38" s="111">
        <f t="shared" si="13"/>
        <v>19.886654458619237</v>
      </c>
      <c r="U38" s="111">
        <f t="shared" si="14"/>
        <v>974.44606847234263</v>
      </c>
      <c r="W38" s="109">
        <f t="shared" si="34"/>
        <v>6</v>
      </c>
      <c r="X38" s="111">
        <f t="shared" si="15"/>
        <v>81.558234612707864</v>
      </c>
      <c r="Y38" s="112">
        <f t="shared" si="16"/>
        <v>489.34940767624721</v>
      </c>
      <c r="AA38" s="111">
        <f t="shared" si="17"/>
        <v>66.375930859257792</v>
      </c>
      <c r="AB38" s="6">
        <f t="shared" si="35"/>
        <v>2986.9168886666007</v>
      </c>
      <c r="AD38" s="111">
        <f t="shared" si="36"/>
        <v>60</v>
      </c>
      <c r="AE38" s="111">
        <f t="shared" si="18"/>
        <v>92.926303202960838</v>
      </c>
      <c r="AF38" s="112">
        <f t="shared" si="19"/>
        <v>5575.5781921776506</v>
      </c>
      <c r="AH38" s="110">
        <f t="shared" si="37"/>
        <v>11</v>
      </c>
      <c r="AI38" s="111">
        <f t="shared" si="20"/>
        <v>293.82206785147508</v>
      </c>
      <c r="AJ38" s="111">
        <f t="shared" si="21"/>
        <v>780.0585872163058</v>
      </c>
      <c r="AK38" s="111">
        <f t="shared" si="38"/>
        <v>4012.1013335825319</v>
      </c>
      <c r="AM38" s="111">
        <f t="shared" si="22"/>
        <v>207.09290428088411</v>
      </c>
      <c r="AN38" s="21">
        <f t="shared" si="23"/>
        <v>9319.1806926397858</v>
      </c>
      <c r="AP38" s="111">
        <f t="shared" si="39"/>
        <v>5</v>
      </c>
      <c r="AQ38" s="111">
        <f t="shared" si="24"/>
        <v>838.11560377367539</v>
      </c>
      <c r="AR38" s="112">
        <f t="shared" si="40"/>
        <v>4190.5780188683766</v>
      </c>
      <c r="AS38" s="111">
        <f t="shared" si="41"/>
        <v>43.7</v>
      </c>
      <c r="AT38" s="111">
        <f t="shared" si="25"/>
        <v>531.00744687406166</v>
      </c>
      <c r="AU38" s="112">
        <f t="shared" si="42"/>
        <v>23205.025428396497</v>
      </c>
      <c r="AW38" s="6">
        <f t="shared" si="26"/>
        <v>204.75</v>
      </c>
      <c r="AY38" s="100" t="str">
        <f>IF(Mandarins!$D$17&lt;0,(+M38+Q38+U38+Y38+AB38+AF38+AK38+AN38+AR38+AU38+AW38)*Mandarins!$D$17/100,IF(Mandarins!$D$17&gt;0,(+M38+Q38+U38+Y38+AB38+AF38+AK38+AN38+AR38+AU38+AW38)*Mandarins!$D$17/100,""))</f>
        <v/>
      </c>
      <c r="AZ38" s="112">
        <f t="shared" si="43"/>
        <v>52575.92745858134</v>
      </c>
      <c r="BB38" s="112">
        <f t="shared" si="1"/>
        <v>13827.550111741846</v>
      </c>
      <c r="BC38" s="112">
        <f t="shared" si="2"/>
        <v>29330.224199130826</v>
      </c>
      <c r="BE38" s="111">
        <f t="shared" si="3"/>
        <v>28.159063277154473</v>
      </c>
      <c r="BF38" s="111">
        <f t="shared" si="27"/>
        <v>28.159063277154473</v>
      </c>
      <c r="BH38" s="111">
        <f t="shared" si="47"/>
        <v>333.865075328579</v>
      </c>
      <c r="BI38" s="111">
        <f t="shared" si="47"/>
        <v>376.48427983370982</v>
      </c>
      <c r="BJ38" s="111">
        <f t="shared" si="47"/>
        <v>332.54341360488115</v>
      </c>
      <c r="BK38" s="111">
        <v>134.59189956103458</v>
      </c>
      <c r="BM38" s="125">
        <f t="shared" si="4"/>
        <v>1.8201367035047147</v>
      </c>
      <c r="BN38" s="125">
        <f t="shared" si="5"/>
        <v>1.8201367035047147</v>
      </c>
    </row>
    <row r="39" spans="1:66" s="100" customFormat="1" x14ac:dyDescent="0.2">
      <c r="A39" s="100">
        <f t="shared" si="6"/>
        <v>2053</v>
      </c>
      <c r="B39" s="112">
        <f t="shared" si="7"/>
        <v>1878.3810780168656</v>
      </c>
      <c r="C39" s="52">
        <f t="shared" si="28"/>
        <v>1878.3810780168656</v>
      </c>
      <c r="E39" s="110">
        <f t="shared" ref="E39:E40" si="48">E38*((E$41/E$21)^(1/($A$41-$A$21)))</f>
        <v>36.351318836634313</v>
      </c>
      <c r="F39" s="15">
        <f t="shared" si="30"/>
        <v>45</v>
      </c>
      <c r="H39" s="112">
        <f t="shared" si="0"/>
        <v>68281.629463691948</v>
      </c>
      <c r="I39" s="20">
        <f t="shared" si="8"/>
        <v>84527.148510758954</v>
      </c>
      <c r="K39" s="105">
        <f t="shared" si="31"/>
        <v>25</v>
      </c>
      <c r="L39" s="111">
        <f t="shared" si="9"/>
        <v>61.965430160772158</v>
      </c>
      <c r="M39" s="111">
        <f t="shared" si="10"/>
        <v>1549.1357540193039</v>
      </c>
      <c r="O39" s="110">
        <f t="shared" si="32"/>
        <v>6</v>
      </c>
      <c r="P39" s="111">
        <f t="shared" si="11"/>
        <v>13.894205048139723</v>
      </c>
      <c r="Q39" s="111">
        <f t="shared" si="12"/>
        <v>83.365230288838333</v>
      </c>
      <c r="S39" s="110">
        <f t="shared" si="33"/>
        <v>49</v>
      </c>
      <c r="T39" s="111">
        <f t="shared" si="13"/>
        <v>20.064866701872369</v>
      </c>
      <c r="U39" s="111">
        <f t="shared" si="14"/>
        <v>983.17846839174604</v>
      </c>
      <c r="W39" s="109">
        <f t="shared" si="34"/>
        <v>6</v>
      </c>
      <c r="X39" s="111">
        <f t="shared" si="15"/>
        <v>82.289110486090195</v>
      </c>
      <c r="Y39" s="112">
        <f t="shared" si="16"/>
        <v>493.7346629165412</v>
      </c>
      <c r="AA39" s="111">
        <f t="shared" si="17"/>
        <v>68.499960646754047</v>
      </c>
      <c r="AB39" s="6">
        <f t="shared" si="35"/>
        <v>3082.4982291039323</v>
      </c>
      <c r="AD39" s="111">
        <f t="shared" si="36"/>
        <v>60</v>
      </c>
      <c r="AE39" s="111">
        <f t="shared" si="18"/>
        <v>95.899944905455584</v>
      </c>
      <c r="AF39" s="112">
        <f t="shared" si="19"/>
        <v>5753.9966943273348</v>
      </c>
      <c r="AH39" s="110">
        <f t="shared" si="37"/>
        <v>11</v>
      </c>
      <c r="AI39" s="111">
        <f t="shared" si="20"/>
        <v>303.22437402272226</v>
      </c>
      <c r="AJ39" s="111">
        <f t="shared" si="21"/>
        <v>805.02046200722759</v>
      </c>
      <c r="AK39" s="111">
        <f t="shared" si="38"/>
        <v>4140.4885762571721</v>
      </c>
      <c r="AM39" s="111">
        <f t="shared" si="22"/>
        <v>213.71987721787241</v>
      </c>
      <c r="AN39" s="21">
        <f t="shared" si="23"/>
        <v>9617.3944748042577</v>
      </c>
      <c r="AP39" s="111">
        <f t="shared" si="39"/>
        <v>5</v>
      </c>
      <c r="AQ39" s="111">
        <f t="shared" si="24"/>
        <v>864.93530309443304</v>
      </c>
      <c r="AR39" s="112">
        <f t="shared" si="40"/>
        <v>4324.6765154721652</v>
      </c>
      <c r="AS39" s="111">
        <f t="shared" si="41"/>
        <v>43.7</v>
      </c>
      <c r="AT39" s="111">
        <f t="shared" si="25"/>
        <v>547.99968517403158</v>
      </c>
      <c r="AU39" s="112">
        <f t="shared" si="42"/>
        <v>23947.586242105182</v>
      </c>
      <c r="AW39" s="6">
        <f t="shared" si="26"/>
        <v>204.75</v>
      </c>
      <c r="AY39" s="100" t="str">
        <f>IF(Mandarins!$D$17&lt;0,(+M39+Q39+U39+Y39+AB39+AF39+AK39+AN39+AR39+AU39+AW39)*Mandarins!$D$17/100,IF(Mandarins!$D$17&gt;0,(+M39+Q39+U39+Y39+AB39+AF39+AK39+AN39+AR39+AU39+AW39)*Mandarins!$D$17/100,""))</f>
        <v/>
      </c>
      <c r="AZ39" s="112">
        <f t="shared" si="43"/>
        <v>54180.804847686479</v>
      </c>
      <c r="BB39" s="112">
        <f t="shared" si="1"/>
        <v>14100.82461600547</v>
      </c>
      <c r="BC39" s="112">
        <f t="shared" si="2"/>
        <v>30346.343663072475</v>
      </c>
      <c r="BE39" s="111">
        <f t="shared" si="3"/>
        <v>28.119834021217134</v>
      </c>
      <c r="BF39" s="111">
        <f t="shared" si="27"/>
        <v>28.119834021217134</v>
      </c>
      <c r="BH39" s="111">
        <f t="shared" si="47"/>
        <v>344.5487577390935</v>
      </c>
      <c r="BI39" s="111">
        <f t="shared" si="47"/>
        <v>388.53177678838853</v>
      </c>
      <c r="BJ39" s="111">
        <f t="shared" si="47"/>
        <v>343.18480284023735</v>
      </c>
      <c r="BK39" s="111">
        <v>135.79803126078241</v>
      </c>
      <c r="BM39" s="125">
        <f t="shared" si="4"/>
        <v>1.8783810780168655</v>
      </c>
      <c r="BN39" s="125">
        <f t="shared" si="5"/>
        <v>1.8783810780168655</v>
      </c>
    </row>
    <row r="40" spans="1:66" s="100" customFormat="1" x14ac:dyDescent="0.2">
      <c r="A40" s="100">
        <f t="shared" si="6"/>
        <v>2054</v>
      </c>
      <c r="B40" s="112">
        <f t="shared" si="7"/>
        <v>1938.4892725134055</v>
      </c>
      <c r="C40" s="52">
        <f t="shared" si="28"/>
        <v>1938.4892725134055</v>
      </c>
      <c r="E40" s="110">
        <f t="shared" si="48"/>
        <v>36.220423752547845</v>
      </c>
      <c r="F40" s="15">
        <f t="shared" si="30"/>
        <v>45</v>
      </c>
      <c r="H40" s="112">
        <f t="shared" si="0"/>
        <v>70212.902890203739</v>
      </c>
      <c r="I40" s="20">
        <f t="shared" si="8"/>
        <v>87232.017263103247</v>
      </c>
      <c r="K40" s="105">
        <f t="shared" si="31"/>
        <v>25</v>
      </c>
      <c r="L40" s="111">
        <f t="shared" si="9"/>
        <v>62.4024836195414</v>
      </c>
      <c r="M40" s="111">
        <f t="shared" si="10"/>
        <v>1560.062090488535</v>
      </c>
      <c r="O40" s="110">
        <f t="shared" si="32"/>
        <v>6</v>
      </c>
      <c r="P40" s="111">
        <f t="shared" si="11"/>
        <v>13.992203405568747</v>
      </c>
      <c r="Q40" s="111">
        <f t="shared" si="12"/>
        <v>83.953220433412483</v>
      </c>
      <c r="S40" s="110">
        <f t="shared" si="33"/>
        <v>49</v>
      </c>
      <c r="T40" s="111">
        <f t="shared" si="13"/>
        <v>20.206387859218399</v>
      </c>
      <c r="U40" s="111">
        <f t="shared" si="14"/>
        <v>990.11300510170156</v>
      </c>
      <c r="W40" s="109">
        <f t="shared" si="34"/>
        <v>6</v>
      </c>
      <c r="X40" s="111">
        <f t="shared" si="15"/>
        <v>82.869510561804631</v>
      </c>
      <c r="Y40" s="112">
        <f t="shared" si="16"/>
        <v>497.21706337082776</v>
      </c>
      <c r="AA40" s="111">
        <f t="shared" si="17"/>
        <v>70.691959387450183</v>
      </c>
      <c r="AB40" s="6">
        <f t="shared" si="35"/>
        <v>3181.1381724352582</v>
      </c>
      <c r="AD40" s="111">
        <f t="shared" si="36"/>
        <v>60</v>
      </c>
      <c r="AE40" s="111">
        <f t="shared" si="18"/>
        <v>98.968743142430171</v>
      </c>
      <c r="AF40" s="112">
        <f t="shared" si="19"/>
        <v>5938.1245885458102</v>
      </c>
      <c r="AH40" s="110">
        <f t="shared" si="37"/>
        <v>11</v>
      </c>
      <c r="AI40" s="111">
        <f t="shared" si="20"/>
        <v>312.92755399144943</v>
      </c>
      <c r="AJ40" s="111">
        <f t="shared" si="21"/>
        <v>830.78111679145889</v>
      </c>
      <c r="AK40" s="111">
        <f t="shared" si="38"/>
        <v>4272.9842106974029</v>
      </c>
      <c r="AM40" s="111">
        <f t="shared" si="22"/>
        <v>220.55891328884431</v>
      </c>
      <c r="AN40" s="21">
        <f t="shared" si="23"/>
        <v>9925.1510979979939</v>
      </c>
      <c r="AP40" s="111">
        <f t="shared" si="39"/>
        <v>5</v>
      </c>
      <c r="AQ40" s="111">
        <f t="shared" si="24"/>
        <v>892.61323279345493</v>
      </c>
      <c r="AR40" s="112">
        <f t="shared" si="40"/>
        <v>4463.0661639672744</v>
      </c>
      <c r="AS40" s="111">
        <f t="shared" si="41"/>
        <v>43.7</v>
      </c>
      <c r="AT40" s="111">
        <f t="shared" si="25"/>
        <v>565.53567509960055</v>
      </c>
      <c r="AU40" s="112">
        <f t="shared" si="42"/>
        <v>24713.909001852546</v>
      </c>
      <c r="AW40" s="6">
        <f t="shared" si="26"/>
        <v>204.75</v>
      </c>
      <c r="AY40" s="100" t="str">
        <f>IF(Mandarins!$D$17&lt;0,(+M40+Q40+U40+Y40+AB40+AF40+AK40+AN40+AR40+AU40+AW40)*Mandarins!$D$17/100,IF(Mandarins!$D$17&gt;0,(+M40+Q40+U40+Y40+AB40+AF40+AK40+AN40+AR40+AU40+AW40)*Mandarins!$D$17/100,""))</f>
        <v/>
      </c>
      <c r="AZ40" s="112">
        <f t="shared" si="43"/>
        <v>55830.468614890764</v>
      </c>
      <c r="BB40" s="112">
        <f t="shared" si="1"/>
        <v>14382.434275312975</v>
      </c>
      <c r="BC40" s="112">
        <f t="shared" si="2"/>
        <v>31401.548648212483</v>
      </c>
      <c r="BE40" s="111">
        <f t="shared" si="3"/>
        <v>28.078303825528039</v>
      </c>
      <c r="BF40" s="111">
        <f t="shared" si="27"/>
        <v>28.078303825528039</v>
      </c>
      <c r="BH40" s="111">
        <f t="shared" si="47"/>
        <v>355.57431798674452</v>
      </c>
      <c r="BI40" s="111">
        <f t="shared" si="47"/>
        <v>400.96479364561696</v>
      </c>
      <c r="BJ40" s="111">
        <f t="shared" si="47"/>
        <v>354.16671653112496</v>
      </c>
      <c r="BK40" s="111">
        <v>136.75583949518972</v>
      </c>
      <c r="BM40" s="125">
        <f t="shared" si="4"/>
        <v>1.9384892725134055</v>
      </c>
      <c r="BN40" s="125">
        <f t="shared" si="5"/>
        <v>1.9384892725134055</v>
      </c>
    </row>
    <row r="41" spans="1:66" s="100" customFormat="1" x14ac:dyDescent="0.2">
      <c r="A41" s="100">
        <f t="shared" si="6"/>
        <v>2055</v>
      </c>
      <c r="B41" s="112">
        <f t="shared" si="7"/>
        <v>2000.5209292338345</v>
      </c>
      <c r="C41" s="52">
        <f t="shared" si="28"/>
        <v>2000.5209292338345</v>
      </c>
      <c r="E41" s="110">
        <f>+E7*0.802</f>
        <v>36.090000000000003</v>
      </c>
      <c r="F41" s="15">
        <f t="shared" si="30"/>
        <v>45</v>
      </c>
      <c r="H41" s="112">
        <f t="shared" si="0"/>
        <v>72198.800336049098</v>
      </c>
      <c r="I41" s="20">
        <f t="shared" si="8"/>
        <v>90023.441815522558</v>
      </c>
      <c r="K41" s="105">
        <f t="shared" si="31"/>
        <v>25</v>
      </c>
      <c r="L41" s="111">
        <f t="shared" si="9"/>
        <v>62.723361798870656</v>
      </c>
      <c r="M41" s="111">
        <f t="shared" si="10"/>
        <v>1568.0840449717664</v>
      </c>
      <c r="O41" s="110">
        <f t="shared" si="32"/>
        <v>6</v>
      </c>
      <c r="P41" s="111">
        <f t="shared" si="11"/>
        <v>14.064152348834487</v>
      </c>
      <c r="Q41" s="111">
        <f t="shared" si="12"/>
        <v>84.384914093006927</v>
      </c>
      <c r="S41" s="110">
        <f t="shared" si="33"/>
        <v>49</v>
      </c>
      <c r="T41" s="111">
        <f t="shared" si="13"/>
        <v>20.310290597875689</v>
      </c>
      <c r="U41" s="111">
        <f t="shared" si="14"/>
        <v>995.20423929590879</v>
      </c>
      <c r="W41" s="109">
        <f t="shared" si="34"/>
        <v>6</v>
      </c>
      <c r="X41" s="111">
        <f t="shared" si="15"/>
        <v>83.295631705204954</v>
      </c>
      <c r="Y41" s="112">
        <f t="shared" si="16"/>
        <v>499.77379023122973</v>
      </c>
      <c r="AA41" s="111">
        <f t="shared" si="17"/>
        <v>72.954102087848597</v>
      </c>
      <c r="AB41" s="6">
        <f t="shared" si="35"/>
        <v>3282.9345939531868</v>
      </c>
      <c r="AD41" s="111">
        <f t="shared" si="36"/>
        <v>60</v>
      </c>
      <c r="AE41" s="111">
        <f t="shared" si="18"/>
        <v>102.13574292298794</v>
      </c>
      <c r="AF41" s="112">
        <f t="shared" si="19"/>
        <v>6128.1445753792768</v>
      </c>
      <c r="AH41" s="110">
        <f t="shared" si="37"/>
        <v>11</v>
      </c>
      <c r="AI41" s="111">
        <f t="shared" si="20"/>
        <v>322.94123571917584</v>
      </c>
      <c r="AJ41" s="111">
        <f t="shared" si="21"/>
        <v>857.36611252878561</v>
      </c>
      <c r="AK41" s="111">
        <f t="shared" si="38"/>
        <v>4409.7197054397202</v>
      </c>
      <c r="AM41" s="111">
        <f t="shared" si="22"/>
        <v>227.61679851408732</v>
      </c>
      <c r="AN41" s="21">
        <f t="shared" si="23"/>
        <v>10242.755933133929</v>
      </c>
      <c r="AP41" s="111">
        <f t="shared" si="39"/>
        <v>5</v>
      </c>
      <c r="AQ41" s="111">
        <f t="shared" si="24"/>
        <v>921.17685624284536</v>
      </c>
      <c r="AR41" s="112">
        <f t="shared" si="40"/>
        <v>4605.8842812142266</v>
      </c>
      <c r="AS41" s="111">
        <f t="shared" si="41"/>
        <v>43.7</v>
      </c>
      <c r="AT41" s="111">
        <f t="shared" si="25"/>
        <v>583.63281670278775</v>
      </c>
      <c r="AU41" s="112">
        <f t="shared" si="42"/>
        <v>25504.754089911825</v>
      </c>
      <c r="AW41" s="6">
        <f t="shared" si="26"/>
        <v>204.75</v>
      </c>
      <c r="AY41" s="100" t="str">
        <f>IF(Mandarins!$D$17&lt;0,(+M41+Q41+U41+Y41+AB41+AF41+AK41+AN41+AR41+AU41+AW41)*Mandarins!$D$17/100,IF(Mandarins!$D$17&gt;0,(+M41+Q41+U41+Y41+AB41+AF41+AK41+AN41+AR41+AU41+AW41)*Mandarins!$D$17/100,""))</f>
        <v/>
      </c>
      <c r="AZ41" s="112">
        <f t="shared" si="43"/>
        <v>57526.390167624071</v>
      </c>
      <c r="BB41" s="112">
        <f t="shared" si="1"/>
        <v>14672.410168425027</v>
      </c>
      <c r="BC41" s="112">
        <f t="shared" si="2"/>
        <v>32497.051647898486</v>
      </c>
      <c r="BE41" s="111">
        <f t="shared" si="3"/>
        <v>28.034672942407003</v>
      </c>
      <c r="BF41" s="111">
        <f t="shared" si="27"/>
        <v>28.034672942407003</v>
      </c>
      <c r="BH41" s="111">
        <f t="shared" si="47"/>
        <v>366.95269616232036</v>
      </c>
      <c r="BI41" s="111">
        <f t="shared" si="47"/>
        <v>413.7956670422767</v>
      </c>
      <c r="BJ41" s="111">
        <f t="shared" si="47"/>
        <v>365.50005146012097</v>
      </c>
      <c r="BK41" s="111">
        <v>137.45904812158676</v>
      </c>
      <c r="BM41" s="125">
        <f t="shared" si="4"/>
        <v>2.0005209292338346</v>
      </c>
      <c r="BN41" s="125">
        <f t="shared" si="5"/>
        <v>2.0005209292338346</v>
      </c>
    </row>
    <row r="42" spans="1:66" x14ac:dyDescent="0.2">
      <c r="A42" s="8"/>
      <c r="E42" s="71"/>
      <c r="F42" s="71"/>
      <c r="AW42" s="7"/>
    </row>
  </sheetData>
  <mergeCells count="47">
    <mergeCell ref="BH6:BK6"/>
    <mergeCell ref="BM3:BN3"/>
    <mergeCell ref="AT5:AT6"/>
    <mergeCell ref="AU5:AU6"/>
    <mergeCell ref="AZ5:AZ6"/>
    <mergeCell ref="BB5:BB6"/>
    <mergeCell ref="BE5:BE6"/>
    <mergeCell ref="AS4:AU4"/>
    <mergeCell ref="AS5:AS6"/>
    <mergeCell ref="AY4:AY6"/>
    <mergeCell ref="AQ5:AQ6"/>
    <mergeCell ref="AA5:AA6"/>
    <mergeCell ref="AB5:AB6"/>
    <mergeCell ref="AD5:AF5"/>
    <mergeCell ref="AH5:AH6"/>
    <mergeCell ref="AI5:AI6"/>
    <mergeCell ref="X5:X6"/>
    <mergeCell ref="AJ5:AJ6"/>
    <mergeCell ref="AK5:AK6"/>
    <mergeCell ref="AM5:AN5"/>
    <mergeCell ref="AP5:AP6"/>
    <mergeCell ref="Q5:Q6"/>
    <mergeCell ref="S5:S6"/>
    <mergeCell ref="T5:T6"/>
    <mergeCell ref="U5:U6"/>
    <mergeCell ref="W5:W6"/>
    <mergeCell ref="K5:K6"/>
    <mergeCell ref="L5:L6"/>
    <mergeCell ref="M5:M6"/>
    <mergeCell ref="O5:O6"/>
    <mergeCell ref="P5:P6"/>
    <mergeCell ref="B3:G3"/>
    <mergeCell ref="K3:AZ3"/>
    <mergeCell ref="BH3:BK3"/>
    <mergeCell ref="B4:C4"/>
    <mergeCell ref="K4:M4"/>
    <mergeCell ref="O4:Q4"/>
    <mergeCell ref="S4:U4"/>
    <mergeCell ref="W4:Y4"/>
    <mergeCell ref="AA4:AB4"/>
    <mergeCell ref="AD4:AF4"/>
    <mergeCell ref="AH4:AK4"/>
    <mergeCell ref="AM4:AN4"/>
    <mergeCell ref="AP4:AR4"/>
    <mergeCell ref="F4:F6"/>
    <mergeCell ref="AR5:AR6"/>
    <mergeCell ref="Y5:Y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A59A8-7B0C-479B-AD70-3CF8D28E9A7C}">
  <sheetPr codeName="Sheet22"/>
  <dimension ref="A1:BB43"/>
  <sheetViews>
    <sheetView workbookViewId="0"/>
  </sheetViews>
  <sheetFormatPr baseColWidth="10" defaultColWidth="8.83203125" defaultRowHeight="15" x14ac:dyDescent="0.2"/>
  <cols>
    <col min="1" max="1" width="14.5" bestFit="1" customWidth="1"/>
    <col min="2" max="2" width="28.5" customWidth="1"/>
    <col min="3" max="3" width="22.83203125" customWidth="1"/>
    <col min="4" max="4" width="12.83203125" bestFit="1" customWidth="1"/>
    <col min="5" max="5" width="13.1640625" customWidth="1"/>
    <col min="7" max="7" width="15.83203125" bestFit="1" customWidth="1"/>
    <col min="8" max="8" width="28.83203125" customWidth="1"/>
    <col min="9" max="9" width="20.83203125" customWidth="1"/>
    <col min="10" max="10" width="12.6640625" customWidth="1"/>
    <col min="11" max="11" width="12.5" customWidth="1"/>
    <col min="12" max="12" width="8.5" customWidth="1"/>
    <col min="13" max="13" width="10.5" customWidth="1"/>
    <col min="14" max="14" width="15.83203125" customWidth="1"/>
    <col min="15" max="16" width="0" hidden="1" customWidth="1"/>
    <col min="17" max="17" width="12.83203125" hidden="1" customWidth="1"/>
    <col min="18" max="19" width="0" hidden="1" customWidth="1"/>
    <col min="20" max="20" width="2.5" hidden="1" customWidth="1"/>
    <col min="21" max="21" width="9" bestFit="1" customWidth="1"/>
    <col min="22" max="22" width="8" bestFit="1" customWidth="1"/>
    <col min="23" max="23" width="15.83203125" customWidth="1"/>
    <col min="24" max="24" width="7.5" bestFit="1" customWidth="1"/>
    <col min="25" max="25" width="12.1640625" customWidth="1"/>
    <col min="27" max="27" width="8.33203125" customWidth="1"/>
    <col min="28" max="28" width="17.1640625" customWidth="1"/>
    <col min="29" max="29" width="7.5" customWidth="1"/>
    <col min="30" max="30" width="10" customWidth="1"/>
    <col min="34" max="34" width="11.5" customWidth="1"/>
    <col min="35" max="35" width="7.5" bestFit="1" customWidth="1"/>
    <col min="36" max="36" width="8.1640625" customWidth="1"/>
    <col min="37" max="37" width="10.5" customWidth="1"/>
    <col min="38" max="38" width="8.33203125" customWidth="1"/>
    <col min="39" max="39" width="20.1640625" customWidth="1"/>
    <col min="40" max="40" width="15.83203125" bestFit="1" customWidth="1"/>
    <col min="41" max="41" width="10.33203125" customWidth="1"/>
    <col min="42" max="42" width="17.83203125" customWidth="1"/>
    <col min="46" max="46" width="11.5" customWidth="1"/>
    <col min="47" max="47" width="7.5" bestFit="1" customWidth="1"/>
    <col min="49" max="49" width="14.5" bestFit="1" customWidth="1"/>
    <col min="50" max="50" width="12.1640625" bestFit="1" customWidth="1"/>
    <col min="51" max="51" width="17.33203125" bestFit="1" customWidth="1"/>
    <col min="52" max="52" width="15.83203125" bestFit="1" customWidth="1"/>
    <col min="53" max="53" width="10.5" customWidth="1"/>
    <col min="54" max="54" width="16" customWidth="1"/>
    <col min="55" max="55" width="11.5" customWidth="1"/>
  </cols>
  <sheetData>
    <row r="1" spans="1:54" ht="21" x14ac:dyDescent="0.25">
      <c r="A1" s="197" t="s">
        <v>106</v>
      </c>
      <c r="B1" s="189" t="s">
        <v>1</v>
      </c>
      <c r="E1" s="47"/>
      <c r="G1" s="195" t="s">
        <v>107</v>
      </c>
      <c r="H1" s="189" t="s">
        <v>1</v>
      </c>
      <c r="K1" s="47"/>
      <c r="L1" s="47"/>
      <c r="M1" s="47"/>
      <c r="N1" s="47"/>
      <c r="O1" s="47"/>
      <c r="P1" s="47"/>
      <c r="Q1" s="47"/>
      <c r="R1" s="47"/>
      <c r="S1" s="47"/>
      <c r="T1" s="47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R1" s="169"/>
      <c r="AS1" s="169"/>
      <c r="AT1" s="169"/>
      <c r="AU1" s="169"/>
      <c r="AV1" s="169"/>
      <c r="AW1" s="169"/>
      <c r="AX1" s="169"/>
      <c r="AY1" s="169"/>
      <c r="AZ1" s="169"/>
      <c r="BA1" s="169"/>
      <c r="BB1" s="169"/>
    </row>
    <row r="2" spans="1:54" x14ac:dyDescent="0.2">
      <c r="B2" s="2" t="s">
        <v>108</v>
      </c>
      <c r="C2" s="2" t="s">
        <v>109</v>
      </c>
      <c r="D2" s="2" t="s">
        <v>68</v>
      </c>
      <c r="E2" s="168" t="s">
        <v>69</v>
      </c>
      <c r="F2" s="8"/>
      <c r="H2" s="2" t="s">
        <v>108</v>
      </c>
      <c r="I2" s="2" t="s">
        <v>109</v>
      </c>
      <c r="J2" s="2" t="s">
        <v>68</v>
      </c>
      <c r="K2" s="168" t="s">
        <v>69</v>
      </c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7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7"/>
      <c r="AM2" s="168"/>
      <c r="AN2" s="168"/>
      <c r="AO2" s="168"/>
      <c r="AP2" s="168"/>
      <c r="AR2" s="168"/>
      <c r="AS2" s="168"/>
      <c r="AT2" s="168"/>
      <c r="AU2" s="168"/>
      <c r="AV2" s="168"/>
      <c r="AW2" s="168"/>
      <c r="AX2" s="167"/>
      <c r="AY2" s="168"/>
      <c r="AZ2" s="168"/>
      <c r="BA2" s="168"/>
      <c r="BB2" s="168"/>
    </row>
    <row r="3" spans="1:54" x14ac:dyDescent="0.2">
      <c r="B3" t="s">
        <v>10</v>
      </c>
      <c r="C3" t="s">
        <v>28</v>
      </c>
      <c r="D3">
        <v>3033.0720000000001</v>
      </c>
      <c r="E3" s="193">
        <f>'Almonds Margin - Alternative'!O7</f>
        <v>3033.0720000000001</v>
      </c>
      <c r="F3" s="8"/>
      <c r="H3" t="s">
        <v>10</v>
      </c>
      <c r="I3" t="s">
        <v>28</v>
      </c>
      <c r="J3" s="129">
        <f>'Citrus Margin ORAG - Baseline'!M7</f>
        <v>1210.1599999999999</v>
      </c>
      <c r="K3" s="196">
        <f>'Citrus Margin ORAG- Alternative'!N7</f>
        <v>1210.1599999999999</v>
      </c>
      <c r="L3" s="10"/>
      <c r="M3" s="10"/>
      <c r="N3" s="10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0"/>
      <c r="AB3" s="10"/>
      <c r="AC3" s="10"/>
      <c r="AD3" s="10"/>
      <c r="AE3" s="10"/>
      <c r="AF3" s="1"/>
      <c r="AG3" s="1"/>
      <c r="AH3" s="1"/>
      <c r="AI3" s="1"/>
      <c r="AJ3" s="1"/>
      <c r="AK3" s="10"/>
      <c r="AL3" s="10"/>
      <c r="AM3" s="10"/>
      <c r="AN3" s="10"/>
      <c r="AO3" s="10"/>
      <c r="AP3" s="10"/>
      <c r="AR3" s="1"/>
      <c r="AS3" s="1"/>
      <c r="AT3" s="1"/>
      <c r="AU3" s="1"/>
      <c r="AV3" s="1"/>
      <c r="AW3" s="1"/>
      <c r="AX3" s="10"/>
      <c r="AY3" s="10"/>
      <c r="AZ3" s="10"/>
      <c r="BA3" s="10"/>
      <c r="BB3" s="10"/>
    </row>
    <row r="4" spans="1:54" x14ac:dyDescent="0.2">
      <c r="B4" t="s">
        <v>11</v>
      </c>
      <c r="C4" t="s">
        <v>28</v>
      </c>
      <c r="D4">
        <v>133.19999999999999</v>
      </c>
      <c r="E4">
        <v>133.19999999999999</v>
      </c>
      <c r="F4" s="8"/>
      <c r="H4" t="s">
        <v>11</v>
      </c>
      <c r="I4" t="s">
        <v>28</v>
      </c>
      <c r="J4" s="129">
        <f>'Citrus Margin ORAG - Baseline'!$Q$7</f>
        <v>61.199999999999996</v>
      </c>
      <c r="K4" s="129">
        <f>'Citrus Margin ORAG - Baseline'!$Q$7</f>
        <v>61.199999999999996</v>
      </c>
      <c r="L4" s="28"/>
      <c r="M4" s="28"/>
      <c r="N4" s="158"/>
      <c r="O4" s="28"/>
      <c r="P4" s="34"/>
      <c r="Q4" s="34"/>
      <c r="R4" s="28"/>
      <c r="S4" s="28"/>
      <c r="T4" s="28"/>
      <c r="U4" s="62"/>
      <c r="V4" s="104"/>
      <c r="W4" s="62"/>
      <c r="X4" s="62"/>
      <c r="Y4" s="62"/>
      <c r="Z4" s="64"/>
      <c r="AA4" s="62"/>
      <c r="AB4" s="62"/>
      <c r="AC4" s="62"/>
      <c r="AD4" s="62"/>
      <c r="AE4" s="64"/>
      <c r="AF4" s="62"/>
      <c r="AG4" s="104"/>
      <c r="AH4" s="62"/>
      <c r="AI4" s="62"/>
      <c r="AJ4" s="62"/>
      <c r="AK4" s="64"/>
      <c r="AL4" s="62"/>
      <c r="AM4" s="62"/>
      <c r="AN4" s="62"/>
      <c r="AO4" s="62"/>
      <c r="AP4" s="64"/>
      <c r="AQ4" s="35"/>
      <c r="AR4" s="62"/>
      <c r="AS4" s="104"/>
      <c r="AT4" s="62"/>
      <c r="AU4" s="62"/>
      <c r="AV4" s="62"/>
      <c r="AW4" s="64"/>
      <c r="AX4" s="62"/>
      <c r="AY4" s="62"/>
      <c r="AZ4" s="62"/>
      <c r="BA4" s="62"/>
      <c r="BB4" s="64"/>
    </row>
    <row r="5" spans="1:54" x14ac:dyDescent="0.2">
      <c r="B5" t="s">
        <v>12</v>
      </c>
      <c r="C5" t="s">
        <v>28</v>
      </c>
      <c r="D5">
        <v>145.84</v>
      </c>
      <c r="E5">
        <v>145.84</v>
      </c>
      <c r="F5" s="8"/>
      <c r="H5" t="s">
        <v>12</v>
      </c>
      <c r="I5" t="s">
        <v>28</v>
      </c>
      <c r="J5" s="129">
        <f>'Citrus Margin ORAG - Baseline'!$U$7</f>
        <v>931.5</v>
      </c>
      <c r="K5" s="129">
        <f>'Citrus Margin ORAG - Baseline'!$U$7</f>
        <v>931.5</v>
      </c>
      <c r="L5" s="28"/>
      <c r="M5" s="28"/>
      <c r="N5" s="158"/>
      <c r="O5" s="28"/>
      <c r="P5" s="34"/>
      <c r="Q5" s="34"/>
      <c r="R5" s="28"/>
      <c r="S5" s="28"/>
      <c r="T5" s="28"/>
      <c r="U5" s="62"/>
      <c r="V5" s="104"/>
      <c r="W5" s="62"/>
      <c r="X5" s="62"/>
      <c r="Y5" s="62"/>
      <c r="Z5" s="64"/>
      <c r="AA5" s="62"/>
      <c r="AB5" s="62"/>
      <c r="AC5" s="62"/>
      <c r="AD5" s="62"/>
      <c r="AE5" s="64"/>
      <c r="AF5" s="62"/>
      <c r="AG5" s="104"/>
      <c r="AH5" s="62"/>
      <c r="AI5" s="62"/>
      <c r="AJ5" s="62"/>
      <c r="AK5" s="64"/>
      <c r="AL5" s="62"/>
      <c r="AM5" s="62"/>
      <c r="AN5" s="62"/>
      <c r="AO5" s="62"/>
      <c r="AP5" s="64"/>
      <c r="AR5" s="62"/>
      <c r="AS5" s="104"/>
      <c r="AT5" s="62"/>
      <c r="AU5" s="62"/>
      <c r="AV5" s="62"/>
      <c r="AW5" s="64"/>
      <c r="AX5" s="62"/>
      <c r="AY5" s="62"/>
      <c r="AZ5" s="62"/>
      <c r="BA5" s="62"/>
      <c r="BB5" s="64"/>
    </row>
    <row r="6" spans="1:54" x14ac:dyDescent="0.2">
      <c r="B6" t="s">
        <v>13</v>
      </c>
      <c r="C6" t="s">
        <v>28</v>
      </c>
      <c r="D6">
        <v>34.1</v>
      </c>
      <c r="E6">
        <v>34.1</v>
      </c>
      <c r="F6" s="8"/>
      <c r="H6" t="s">
        <v>13</v>
      </c>
      <c r="I6" t="s">
        <v>28</v>
      </c>
      <c r="J6" s="124">
        <f>'Citrus Margin ORAG - Baseline'!$Y$7</f>
        <v>99.060999999999993</v>
      </c>
      <c r="K6" s="124">
        <f>'Citrus Margin ORAG - Baseline'!$Y$7</f>
        <v>99.060999999999993</v>
      </c>
      <c r="L6" s="28"/>
      <c r="M6" s="28"/>
      <c r="N6" s="158"/>
      <c r="O6" s="28"/>
      <c r="P6" s="34"/>
      <c r="Q6" s="34"/>
      <c r="R6" s="28"/>
      <c r="S6" s="28"/>
      <c r="T6" s="28"/>
      <c r="U6" s="62"/>
      <c r="V6" s="104"/>
      <c r="W6" s="62"/>
      <c r="X6" s="62"/>
      <c r="Y6" s="62"/>
      <c r="Z6" s="64"/>
      <c r="AA6" s="62"/>
      <c r="AB6" s="62"/>
      <c r="AC6" s="62"/>
      <c r="AD6" s="62"/>
      <c r="AE6" s="64"/>
      <c r="AF6" s="62"/>
      <c r="AG6" s="104"/>
      <c r="AH6" s="62"/>
      <c r="AI6" s="62"/>
      <c r="AJ6" s="62"/>
      <c r="AK6" s="64"/>
      <c r="AL6" s="62"/>
      <c r="AM6" s="62"/>
      <c r="AN6" s="62"/>
      <c r="AO6" s="62"/>
      <c r="AP6" s="64"/>
      <c r="AR6" s="62"/>
      <c r="AS6" s="104"/>
      <c r="AT6" s="62"/>
      <c r="AU6" s="62"/>
      <c r="AV6" s="62"/>
      <c r="AW6" s="64"/>
      <c r="AX6" s="62"/>
      <c r="AY6" s="62"/>
      <c r="AZ6" s="62"/>
      <c r="BA6" s="62"/>
      <c r="BB6" s="64"/>
    </row>
    <row r="7" spans="1:54" x14ac:dyDescent="0.2">
      <c r="B7" t="s">
        <v>14</v>
      </c>
      <c r="C7" t="s">
        <v>28</v>
      </c>
      <c r="D7">
        <v>0</v>
      </c>
      <c r="E7">
        <v>0</v>
      </c>
      <c r="F7" s="8"/>
      <c r="H7" t="s">
        <v>110</v>
      </c>
      <c r="I7" t="s">
        <v>28</v>
      </c>
      <c r="J7" s="124">
        <f>'Citrus Margin ORAG - Baseline'!$AU$7</f>
        <v>3800</v>
      </c>
      <c r="K7" s="124">
        <f>'Citrus Margin ORAG - Baseline'!$AU$7</f>
        <v>3800</v>
      </c>
      <c r="L7" s="28"/>
      <c r="M7" s="28"/>
      <c r="N7" s="158"/>
      <c r="O7" s="28"/>
      <c r="P7" s="34"/>
      <c r="Q7" s="34"/>
      <c r="R7" s="28"/>
      <c r="S7" s="28"/>
      <c r="T7" s="28"/>
      <c r="U7" s="62"/>
      <c r="V7" s="104"/>
      <c r="W7" s="62"/>
      <c r="X7" s="62"/>
      <c r="Y7" s="62"/>
      <c r="Z7" s="64"/>
      <c r="AA7" s="62"/>
      <c r="AB7" s="62"/>
      <c r="AC7" s="62"/>
      <c r="AD7" s="62"/>
      <c r="AE7" s="64"/>
      <c r="AF7" s="62"/>
      <c r="AG7" s="104"/>
      <c r="AH7" s="62"/>
      <c r="AI7" s="62"/>
      <c r="AJ7" s="62"/>
      <c r="AK7" s="64"/>
      <c r="AL7" s="62"/>
      <c r="AM7" s="62"/>
      <c r="AN7" s="62"/>
      <c r="AO7" s="62"/>
      <c r="AP7" s="64"/>
      <c r="AR7" s="62"/>
      <c r="AS7" s="104"/>
      <c r="AT7" s="62"/>
      <c r="AU7" s="62"/>
      <c r="AV7" s="62"/>
      <c r="AW7" s="64"/>
      <c r="AX7" s="62"/>
      <c r="AY7" s="62"/>
      <c r="AZ7" s="62"/>
      <c r="BA7" s="62"/>
      <c r="BB7" s="64"/>
    </row>
    <row r="8" spans="1:54" x14ac:dyDescent="0.2">
      <c r="B8" t="s">
        <v>15</v>
      </c>
      <c r="C8" t="s">
        <v>28</v>
      </c>
      <c r="D8">
        <v>7.4399999999999995</v>
      </c>
      <c r="E8">
        <v>7.4399999999999995</v>
      </c>
      <c r="H8" t="s">
        <v>15</v>
      </c>
      <c r="I8" t="s">
        <v>28</v>
      </c>
      <c r="J8" s="129">
        <f>'Citrus Margin ORAG - Baseline'!$AB$7</f>
        <v>1000</v>
      </c>
      <c r="K8" s="129">
        <f>'Citrus Margin ORAG - Baseline'!$AB$7</f>
        <v>1000</v>
      </c>
      <c r="L8" s="28"/>
      <c r="M8" s="28"/>
      <c r="N8" s="158"/>
      <c r="O8" s="28"/>
      <c r="P8" s="34"/>
      <c r="Q8" s="34"/>
      <c r="R8" s="28"/>
      <c r="S8" s="28"/>
      <c r="T8" s="28"/>
      <c r="U8" s="62"/>
      <c r="V8" s="104"/>
      <c r="W8" s="62"/>
      <c r="X8" s="62"/>
      <c r="Y8" s="62"/>
      <c r="Z8" s="64"/>
      <c r="AA8" s="62"/>
      <c r="AB8" s="62"/>
      <c r="AC8" s="62"/>
      <c r="AD8" s="62"/>
      <c r="AE8" s="64"/>
      <c r="AF8" s="62"/>
      <c r="AG8" s="104"/>
      <c r="AH8" s="62"/>
      <c r="AI8" s="62"/>
      <c r="AJ8" s="62"/>
      <c r="AK8" s="64"/>
      <c r="AL8" s="62"/>
      <c r="AM8" s="62"/>
      <c r="AN8" s="62"/>
      <c r="AO8" s="62"/>
      <c r="AP8" s="64"/>
      <c r="AR8" s="62"/>
      <c r="AS8" s="104"/>
      <c r="AT8" s="62"/>
      <c r="AU8" s="62"/>
      <c r="AV8" s="62"/>
      <c r="AW8" s="64"/>
      <c r="AX8" s="62"/>
      <c r="AY8" s="62"/>
      <c r="AZ8" s="62"/>
      <c r="BA8" s="62"/>
      <c r="BB8" s="64"/>
    </row>
    <row r="9" spans="1:54" x14ac:dyDescent="0.2">
      <c r="B9" t="s">
        <v>16</v>
      </c>
      <c r="C9" t="s">
        <v>28</v>
      </c>
      <c r="D9">
        <v>6446.4000000000005</v>
      </c>
      <c r="E9">
        <v>6446.4000000000005</v>
      </c>
      <c r="F9" s="8"/>
      <c r="H9" t="s">
        <v>16</v>
      </c>
      <c r="I9" t="s">
        <v>28</v>
      </c>
      <c r="J9" s="124">
        <f>'Citrus Margin ORAG - Baseline'!$AF$7</f>
        <v>2079</v>
      </c>
      <c r="K9" s="124">
        <f>'Citrus Margin ORAG - Baseline'!$AF$7</f>
        <v>2079</v>
      </c>
      <c r="L9" s="28"/>
      <c r="M9" s="28"/>
      <c r="N9" s="158"/>
      <c r="O9" s="28"/>
      <c r="P9" s="34"/>
      <c r="Q9" s="34"/>
      <c r="R9" s="28"/>
      <c r="S9" s="28"/>
      <c r="T9" s="28"/>
      <c r="U9" s="62"/>
      <c r="V9" s="104"/>
      <c r="W9" s="62"/>
      <c r="X9" s="62"/>
      <c r="Y9" s="62"/>
      <c r="Z9" s="64"/>
      <c r="AA9" s="62"/>
      <c r="AB9" s="62"/>
      <c r="AC9" s="62"/>
      <c r="AD9" s="62"/>
      <c r="AE9" s="64"/>
      <c r="AF9" s="62"/>
      <c r="AG9" s="104"/>
      <c r="AH9" s="62"/>
      <c r="AI9" s="62"/>
      <c r="AJ9" s="62"/>
      <c r="AK9" s="64"/>
      <c r="AL9" s="62"/>
      <c r="AM9" s="62"/>
      <c r="AN9" s="62"/>
      <c r="AO9" s="62"/>
      <c r="AP9" s="64"/>
      <c r="AR9" s="62"/>
      <c r="AS9" s="104"/>
      <c r="AT9" s="62"/>
      <c r="AU9" s="62"/>
      <c r="AV9" s="62"/>
      <c r="AW9" s="64"/>
      <c r="AX9" s="62"/>
      <c r="AY9" s="62"/>
      <c r="AZ9" s="62"/>
      <c r="BA9" s="62"/>
      <c r="BB9" s="64"/>
    </row>
    <row r="10" spans="1:54" x14ac:dyDescent="0.2">
      <c r="B10" t="s">
        <v>17</v>
      </c>
      <c r="C10" t="s">
        <v>28</v>
      </c>
      <c r="D10">
        <v>1386</v>
      </c>
      <c r="E10" s="194">
        <f>'Almonds Margin - Alternative'!AP7</f>
        <v>1386</v>
      </c>
      <c r="F10" s="8"/>
      <c r="H10" t="s">
        <v>72</v>
      </c>
      <c r="I10" t="s">
        <v>28</v>
      </c>
      <c r="J10" s="124">
        <f>'Citrus Margin ORAG - Baseline'!$AN$7</f>
        <v>1600</v>
      </c>
      <c r="K10" s="124">
        <f>'Citrus Margin ORAG - Baseline'!$AN$7</f>
        <v>1600</v>
      </c>
      <c r="L10" s="28"/>
      <c r="M10" s="28"/>
      <c r="N10" s="158"/>
      <c r="O10" s="28"/>
      <c r="P10" s="34"/>
      <c r="Q10" s="34"/>
      <c r="R10" s="28"/>
      <c r="S10" s="28"/>
      <c r="T10" s="28"/>
      <c r="U10" s="62"/>
      <c r="V10" s="104"/>
      <c r="W10" s="62"/>
      <c r="X10" s="62"/>
      <c r="Y10" s="62"/>
      <c r="Z10" s="64"/>
      <c r="AA10" s="62"/>
      <c r="AB10" s="62"/>
      <c r="AC10" s="62"/>
      <c r="AD10" s="62"/>
      <c r="AE10" s="64"/>
      <c r="AF10" s="62"/>
      <c r="AG10" s="104"/>
      <c r="AH10" s="62"/>
      <c r="AI10" s="62"/>
      <c r="AJ10" s="62"/>
      <c r="AK10" s="64"/>
      <c r="AL10" s="62"/>
      <c r="AM10" s="62"/>
      <c r="AN10" s="62"/>
      <c r="AO10" s="62"/>
      <c r="AP10" s="64"/>
      <c r="AR10" s="62"/>
      <c r="AS10" s="104"/>
      <c r="AT10" s="62"/>
      <c r="AU10" s="62"/>
      <c r="AV10" s="62"/>
      <c r="AW10" s="64"/>
      <c r="AX10" s="62"/>
      <c r="AY10" s="62"/>
      <c r="AZ10" s="62"/>
      <c r="BA10" s="62"/>
      <c r="BB10" s="64"/>
    </row>
    <row r="11" spans="1:54" x14ac:dyDescent="0.2">
      <c r="B11" t="s">
        <v>18</v>
      </c>
      <c r="C11" t="s">
        <v>28</v>
      </c>
      <c r="D11">
        <v>900</v>
      </c>
      <c r="E11">
        <v>900</v>
      </c>
      <c r="H11" t="s">
        <v>17</v>
      </c>
      <c r="I11" t="s">
        <v>28</v>
      </c>
      <c r="J11" s="129">
        <f>'Citrus Margin ORAG - Baseline'!$AK$7</f>
        <v>1543</v>
      </c>
      <c r="K11" s="198">
        <f>'Citrus Margin ORAG- Alternative'!AL7</f>
        <v>1543</v>
      </c>
    </row>
    <row r="12" spans="1:54" x14ac:dyDescent="0.2">
      <c r="B12" t="s">
        <v>23</v>
      </c>
      <c r="D12">
        <v>39.68</v>
      </c>
      <c r="E12">
        <v>39.68</v>
      </c>
      <c r="H12" t="s">
        <v>18</v>
      </c>
      <c r="I12" t="s">
        <v>28</v>
      </c>
      <c r="J12" s="124">
        <f>'Citrus Margin ORAG - Baseline'!$AR$7</f>
        <v>1201.68</v>
      </c>
      <c r="K12" s="124">
        <f>'Citrus Margin ORAG - Baseline'!$AR$7</f>
        <v>1201.68</v>
      </c>
    </row>
    <row r="13" spans="1:54" x14ac:dyDescent="0.2">
      <c r="B13" t="s">
        <v>24</v>
      </c>
      <c r="C13" t="s">
        <v>36</v>
      </c>
      <c r="D13">
        <v>1934.3999999999999</v>
      </c>
      <c r="E13">
        <v>1934.3999999999999</v>
      </c>
      <c r="H13" t="s">
        <v>23</v>
      </c>
      <c r="J13" s="129">
        <f>'Citrus Margin ORAG - Baseline'!$AW$7</f>
        <v>212</v>
      </c>
      <c r="K13" s="129">
        <f>'Citrus Margin ORAG - Baseline'!$AW$7</f>
        <v>212</v>
      </c>
    </row>
    <row r="14" spans="1:54" x14ac:dyDescent="0.2">
      <c r="B14" s="2" t="s">
        <v>111</v>
      </c>
      <c r="D14" s="190">
        <f>SUM(D3:D13)</f>
        <v>14060.132</v>
      </c>
      <c r="E14" s="190">
        <f>SUM(E3:E13)</f>
        <v>14060.132</v>
      </c>
      <c r="H14" s="2" t="s">
        <v>111</v>
      </c>
      <c r="J14" s="190">
        <f>SUM(J3:J13)</f>
        <v>13737.601000000001</v>
      </c>
      <c r="K14" s="190">
        <f>SUM(K3:K13)</f>
        <v>13737.601000000001</v>
      </c>
    </row>
    <row r="16" spans="1:54" x14ac:dyDescent="0.2">
      <c r="B16" s="189" t="s">
        <v>112</v>
      </c>
      <c r="H16" s="189" t="s">
        <v>112</v>
      </c>
    </row>
    <row r="17" spans="1:11" x14ac:dyDescent="0.2">
      <c r="B17" s="2" t="s">
        <v>113</v>
      </c>
      <c r="C17" s="2"/>
      <c r="D17" s="2" t="s">
        <v>68</v>
      </c>
      <c r="E17" s="2" t="s">
        <v>69</v>
      </c>
      <c r="H17" s="2" t="s">
        <v>113</v>
      </c>
      <c r="I17" s="2"/>
      <c r="J17" s="2" t="s">
        <v>68</v>
      </c>
      <c r="K17" s="2" t="s">
        <v>69</v>
      </c>
    </row>
    <row r="18" spans="1:11" x14ac:dyDescent="0.2">
      <c r="B18" t="s">
        <v>114</v>
      </c>
      <c r="D18">
        <f>'Main Variables'!E4</f>
        <v>16120</v>
      </c>
      <c r="E18" s="124">
        <f>'Almonds Margin - Alternative'!K7</f>
        <v>16120</v>
      </c>
      <c r="H18" t="s">
        <v>114</v>
      </c>
      <c r="J18" s="124">
        <f>'Citrus Margin ORAG - Baseline'!I7</f>
        <v>20000</v>
      </c>
      <c r="K18" s="124">
        <f>'Citrus Margin ORAG- Alternative'!J7</f>
        <v>20000</v>
      </c>
    </row>
    <row r="19" spans="1:11" x14ac:dyDescent="0.2">
      <c r="B19" t="s">
        <v>115</v>
      </c>
      <c r="D19" s="129">
        <f>'Main Variables'!F4</f>
        <v>14060.132</v>
      </c>
      <c r="E19" s="124">
        <f>'Almonds Margin - Alternative'!BO7</f>
        <v>14060.132</v>
      </c>
      <c r="H19" t="s">
        <v>115</v>
      </c>
      <c r="J19" s="129">
        <f>'Citrus Margin ORAG - Baseline'!AY7</f>
        <v>13737.601000000001</v>
      </c>
      <c r="K19" s="124">
        <f>'Citrus Margin ORAG- Alternative'!BA7</f>
        <v>13737.601000000001</v>
      </c>
    </row>
    <row r="20" spans="1:11" x14ac:dyDescent="0.2">
      <c r="B20" t="s">
        <v>2</v>
      </c>
      <c r="D20" s="129">
        <f>'Main Variables'!G4</f>
        <v>2059.8680000000004</v>
      </c>
      <c r="E20" s="124">
        <f>'Almonds Margin - Alternative'!BR7</f>
        <v>2059.8680000000004</v>
      </c>
      <c r="H20" t="s">
        <v>2</v>
      </c>
      <c r="J20" s="129">
        <f>'Citrus Margin ORAG - Baseline'!BA7</f>
        <v>6262.3989999999994</v>
      </c>
      <c r="K20" s="124">
        <f>'Citrus Margin ORAG- Alternative'!BD7</f>
        <v>6262.3989999999994</v>
      </c>
    </row>
    <row r="24" spans="1:11" ht="21" x14ac:dyDescent="0.25">
      <c r="A24" s="191" t="s">
        <v>71</v>
      </c>
      <c r="B24" s="189" t="s">
        <v>1</v>
      </c>
      <c r="E24" s="47"/>
      <c r="G24" s="200" t="s">
        <v>116</v>
      </c>
      <c r="H24" s="189" t="s">
        <v>1</v>
      </c>
      <c r="K24" s="47"/>
    </row>
    <row r="25" spans="1:11" x14ac:dyDescent="0.2">
      <c r="B25" s="2" t="s">
        <v>108</v>
      </c>
      <c r="C25" s="2" t="s">
        <v>109</v>
      </c>
      <c r="D25" s="2" t="s">
        <v>68</v>
      </c>
      <c r="E25" s="168" t="s">
        <v>69</v>
      </c>
      <c r="H25" s="2" t="s">
        <v>108</v>
      </c>
      <c r="I25" s="2" t="s">
        <v>109</v>
      </c>
      <c r="J25" s="2" t="s">
        <v>68</v>
      </c>
      <c r="K25" s="168" t="s">
        <v>69</v>
      </c>
    </row>
    <row r="26" spans="1:11" x14ac:dyDescent="0.2">
      <c r="B26" t="s">
        <v>10</v>
      </c>
      <c r="C26" t="s">
        <v>28</v>
      </c>
      <c r="D26" s="129">
        <f>'Grapes Margin - Baseline'!M7</f>
        <v>435.99999999999994</v>
      </c>
      <c r="E26" s="129">
        <f>'Grapes Margin - Alternative'!N7</f>
        <v>436.48</v>
      </c>
      <c r="H26" t="s">
        <v>10</v>
      </c>
      <c r="I26" t="s">
        <v>28</v>
      </c>
      <c r="J26" s="129">
        <f>'Citrus Margin MAND - Baseline'!M7</f>
        <v>1137.25</v>
      </c>
      <c r="K26" s="196">
        <f>'Citrus Margin MAND- Alternative'!M7</f>
        <v>1137.25</v>
      </c>
    </row>
    <row r="27" spans="1:11" x14ac:dyDescent="0.2">
      <c r="B27" t="s">
        <v>11</v>
      </c>
      <c r="C27" t="s">
        <v>28</v>
      </c>
      <c r="D27" s="129">
        <f>'Grapes Margin - Baseline'!Q7</f>
        <v>200</v>
      </c>
      <c r="E27" s="129">
        <f>'Grapes Margin - Alternative'!$R$7</f>
        <v>200</v>
      </c>
      <c r="H27" t="s">
        <v>11</v>
      </c>
      <c r="I27" t="s">
        <v>28</v>
      </c>
      <c r="J27" s="129">
        <f>'Citrus Margin MAND - Baseline'!$Q$7</f>
        <v>61.199999999999996</v>
      </c>
      <c r="K27" s="129">
        <f>'Citrus Margin MAND - Baseline'!$Q$7</f>
        <v>61.199999999999996</v>
      </c>
    </row>
    <row r="28" spans="1:11" x14ac:dyDescent="0.2">
      <c r="B28" t="s">
        <v>12</v>
      </c>
      <c r="C28" t="s">
        <v>28</v>
      </c>
      <c r="D28" s="129">
        <f>'Grapes Margin - Baseline'!U7</f>
        <v>100</v>
      </c>
      <c r="E28" s="129">
        <f>'Grapes Margin - Alternative'!$V$7</f>
        <v>100</v>
      </c>
      <c r="H28" t="s">
        <v>12</v>
      </c>
      <c r="I28" t="s">
        <v>28</v>
      </c>
      <c r="J28" s="129">
        <f>'Citrus Margin MAND - Baseline'!$U$7</f>
        <v>721.77</v>
      </c>
      <c r="K28" s="129">
        <f>'Citrus Margin MAND - Baseline'!$U$7</f>
        <v>721.77</v>
      </c>
    </row>
    <row r="29" spans="1:11" x14ac:dyDescent="0.2">
      <c r="B29" t="s">
        <v>13</v>
      </c>
      <c r="C29" t="s">
        <v>28</v>
      </c>
      <c r="D29" s="124">
        <f>'Grapes Margin - Baseline'!Y7</f>
        <v>1200</v>
      </c>
      <c r="E29" s="124">
        <f>'Grapes Margin - Alternative'!$Z$7</f>
        <v>1200</v>
      </c>
      <c r="H29" t="s">
        <v>13</v>
      </c>
      <c r="I29" t="s">
        <v>28</v>
      </c>
      <c r="J29" s="124">
        <f>'Citrus Margin MAND - Baseline'!$Y$7</f>
        <v>362.46</v>
      </c>
      <c r="K29" s="124">
        <f>'Citrus Margin MAND - Baseline'!$Y$7</f>
        <v>362.46</v>
      </c>
    </row>
    <row r="30" spans="1:11" x14ac:dyDescent="0.2">
      <c r="B30" t="s">
        <v>15</v>
      </c>
      <c r="C30" t="s">
        <v>28</v>
      </c>
      <c r="D30" s="129">
        <f>'Grapes Margin - Baseline'!AB7</f>
        <v>1078</v>
      </c>
      <c r="E30" s="129">
        <f>'Grapes Margin - Alternative'!$AC$7</f>
        <v>1078</v>
      </c>
      <c r="H30" t="s">
        <v>110</v>
      </c>
      <c r="I30" t="s">
        <v>28</v>
      </c>
      <c r="J30" s="124">
        <f>'Citrus Margin MAND - Baseline'!$AU$7</f>
        <v>8740</v>
      </c>
      <c r="K30" s="124">
        <f>'Citrus Margin MAND - Baseline'!$AU$7</f>
        <v>8740</v>
      </c>
    </row>
    <row r="31" spans="1:11" x14ac:dyDescent="0.2">
      <c r="B31" t="s">
        <v>16</v>
      </c>
      <c r="C31" t="s">
        <v>28</v>
      </c>
      <c r="D31" s="124">
        <f>SUM('Grapes Margin - Baseline'!AF7+'Grapes Margin - Baseline'!AI7)</f>
        <v>7020</v>
      </c>
      <c r="E31" s="124">
        <f>SUM('Grapes Margin - Alternative'!$AJ$7+'Grapes Margin - Alternative'!$AG$7)</f>
        <v>7020</v>
      </c>
      <c r="H31" t="s">
        <v>15</v>
      </c>
      <c r="I31" t="s">
        <v>28</v>
      </c>
      <c r="J31" s="129">
        <f>'Citrus Margin MAND - Baseline'!$AB$7</f>
        <v>1125</v>
      </c>
      <c r="K31" s="129">
        <f>'Citrus Margin MAND - Baseline'!$AB$7</f>
        <v>1125</v>
      </c>
    </row>
    <row r="32" spans="1:11" x14ac:dyDescent="0.2">
      <c r="B32" t="s">
        <v>17</v>
      </c>
      <c r="C32" t="s">
        <v>28</v>
      </c>
      <c r="D32" s="129">
        <f>'Grapes Margin - Baseline'!AN7</f>
        <v>49.5</v>
      </c>
      <c r="E32" s="129">
        <f>'Grapes Margin - Alternative'!$AO$7</f>
        <v>49.5</v>
      </c>
      <c r="H32" t="s">
        <v>16</v>
      </c>
      <c r="I32" t="s">
        <v>28</v>
      </c>
      <c r="J32" s="124">
        <f>'Citrus Margin MAND - Baseline'!$AF$7</f>
        <v>2100</v>
      </c>
      <c r="K32" s="124">
        <f>'Citrus Margin MAND - Baseline'!$AF$7</f>
        <v>2100</v>
      </c>
    </row>
    <row r="33" spans="2:11" x14ac:dyDescent="0.2">
      <c r="B33" t="s">
        <v>110</v>
      </c>
      <c r="C33" t="s">
        <v>28</v>
      </c>
      <c r="D33" s="124">
        <f>'Grapes Margin - Baseline'!AZ7</f>
        <v>5197.5</v>
      </c>
      <c r="E33" s="124">
        <f>'Grapes Margin - Alternative'!$BA$7</f>
        <v>5197.5</v>
      </c>
      <c r="H33" t="s">
        <v>72</v>
      </c>
      <c r="I33" t="s">
        <v>28</v>
      </c>
      <c r="J33" s="124">
        <f>'Citrus Margin MAND - Baseline'!$AN$7</f>
        <v>3510</v>
      </c>
      <c r="K33" s="124">
        <f>'Citrus Margin MAND - Baseline'!$AN$7</f>
        <v>3510</v>
      </c>
    </row>
    <row r="34" spans="2:11" x14ac:dyDescent="0.2">
      <c r="B34" t="s">
        <v>72</v>
      </c>
      <c r="C34" t="s">
        <v>28</v>
      </c>
      <c r="D34" s="124">
        <f>SUM('Grapes Margin - Baseline'!AR7+'Grapes Margin - Baseline'!AU7)</f>
        <v>2160</v>
      </c>
      <c r="E34" s="124">
        <f>SUM('Grapes Margin - Alternative'!$AS$7+'Grapes Margin - Alternative'!$AV$7)</f>
        <v>2160</v>
      </c>
      <c r="H34" t="s">
        <v>17</v>
      </c>
      <c r="I34" t="s">
        <v>28</v>
      </c>
      <c r="J34" s="129">
        <f>'Citrus Margin MAND - Baseline'!$AK$7</f>
        <v>1543</v>
      </c>
      <c r="K34" s="129">
        <f>'Citrus Margin MAND- Alternative'!AK7</f>
        <v>1543</v>
      </c>
    </row>
    <row r="35" spans="2:11" x14ac:dyDescent="0.2">
      <c r="B35" t="s">
        <v>23</v>
      </c>
      <c r="D35" s="129">
        <f>'Grapes Margin - Baseline'!BB7</f>
        <v>154</v>
      </c>
      <c r="E35" s="129">
        <f>'Grapes Margin - Alternative'!$BC$7</f>
        <v>154</v>
      </c>
      <c r="H35" t="s">
        <v>18</v>
      </c>
      <c r="I35" t="s">
        <v>28</v>
      </c>
      <c r="J35" s="124">
        <f>'Citrus Margin MAND - Baseline'!$AR$7</f>
        <v>1578.3500000000001</v>
      </c>
      <c r="K35" s="124">
        <f>'Citrus Margin MAND - Baseline'!$AR$7</f>
        <v>1578.3500000000001</v>
      </c>
    </row>
    <row r="36" spans="2:11" x14ac:dyDescent="0.2">
      <c r="B36" s="2" t="s">
        <v>111</v>
      </c>
      <c r="D36" s="190">
        <f>SUM(D26:D35)</f>
        <v>17595</v>
      </c>
      <c r="E36" s="190">
        <f>SUM(E26:E35)</f>
        <v>17595.48</v>
      </c>
      <c r="H36" t="s">
        <v>23</v>
      </c>
      <c r="J36" s="129">
        <f>'Citrus Margin MAND - Baseline'!$AW$7</f>
        <v>204.75</v>
      </c>
      <c r="K36" s="129">
        <f>'Citrus Margin MAND - Baseline'!$AW$7</f>
        <v>204.75</v>
      </c>
    </row>
    <row r="37" spans="2:11" x14ac:dyDescent="0.2">
      <c r="H37" s="2" t="s">
        <v>111</v>
      </c>
      <c r="J37" s="190">
        <f>SUM(J26:J36)</f>
        <v>21083.78</v>
      </c>
      <c r="K37" s="190">
        <f>SUM(K26:K36)</f>
        <v>21083.78</v>
      </c>
    </row>
    <row r="38" spans="2:11" x14ac:dyDescent="0.2">
      <c r="B38" s="189" t="s">
        <v>112</v>
      </c>
    </row>
    <row r="39" spans="2:11" x14ac:dyDescent="0.2">
      <c r="B39" s="2" t="s">
        <v>113</v>
      </c>
      <c r="C39" s="2"/>
      <c r="D39" s="2" t="s">
        <v>68</v>
      </c>
      <c r="E39" s="2" t="s">
        <v>69</v>
      </c>
      <c r="H39" s="189" t="s">
        <v>112</v>
      </c>
    </row>
    <row r="40" spans="2:11" x14ac:dyDescent="0.2">
      <c r="B40" t="s">
        <v>114</v>
      </c>
      <c r="D40" s="124">
        <f>'Grapes Margin - Baseline'!I7</f>
        <v>46200</v>
      </c>
      <c r="E40" s="124">
        <f>'Grapes Margin - Alternative'!J7</f>
        <v>46200</v>
      </c>
      <c r="H40" s="2" t="s">
        <v>113</v>
      </c>
      <c r="I40" s="2"/>
      <c r="J40" s="2" t="s">
        <v>68</v>
      </c>
      <c r="K40" s="2" t="s">
        <v>69</v>
      </c>
    </row>
    <row r="41" spans="2:11" x14ac:dyDescent="0.2">
      <c r="B41" t="s">
        <v>115</v>
      </c>
      <c r="D41" s="129">
        <f>'Grapes Margin - Baseline'!BD7</f>
        <v>17595</v>
      </c>
      <c r="E41" s="129">
        <f>'Grapes Margin - Alternative'!$BF$7</f>
        <v>17595.48</v>
      </c>
      <c r="H41" t="s">
        <v>114</v>
      </c>
      <c r="J41" s="124">
        <f>'Citrus Margin MAND - Baseline'!I7</f>
        <v>31500</v>
      </c>
      <c r="K41" s="124">
        <f>'Citrus Margin MAND- Alternative'!I7</f>
        <v>31500</v>
      </c>
    </row>
    <row r="42" spans="2:11" x14ac:dyDescent="0.2">
      <c r="B42" t="s">
        <v>2</v>
      </c>
      <c r="D42" s="129">
        <f>'Grapes Margin - Baseline'!BF7</f>
        <v>28605</v>
      </c>
      <c r="E42" s="129">
        <f>'Grapes Margin - Alternative'!$BI$7</f>
        <v>28604.52</v>
      </c>
      <c r="H42" t="s">
        <v>115</v>
      </c>
      <c r="J42" s="129">
        <f>'Citrus Margin MAND - Baseline'!AY7</f>
        <v>21083.78</v>
      </c>
      <c r="K42" s="124">
        <f>'Citrus Margin MAND- Alternative'!AZ7</f>
        <v>21083.78</v>
      </c>
    </row>
    <row r="43" spans="2:11" x14ac:dyDescent="0.2">
      <c r="H43" t="s">
        <v>2</v>
      </c>
      <c r="J43" s="129">
        <f>'Citrus Margin MAND - Baseline'!BA7</f>
        <v>10416.220000000001</v>
      </c>
      <c r="K43" s="124">
        <f>'Citrus Margin MAND- Alternative'!BC7</f>
        <v>10416.220000000001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C2B9-943B-460E-8DE4-3071EDCE2A6E}">
  <sheetPr codeName="Sheet13"/>
  <dimension ref="A1:BM42"/>
  <sheetViews>
    <sheetView workbookViewId="0"/>
  </sheetViews>
  <sheetFormatPr baseColWidth="10" defaultColWidth="8.83203125" defaultRowHeight="15" x14ac:dyDescent="0.2"/>
  <cols>
    <col min="2" max="2" width="16.1640625" bestFit="1" customWidth="1"/>
    <col min="3" max="3" width="16.6640625" bestFit="1" customWidth="1"/>
    <col min="4" max="4" width="0.83203125" customWidth="1"/>
    <col min="5" max="5" width="11.5" bestFit="1" customWidth="1"/>
    <col min="6" max="6" width="12.1640625" bestFit="1" customWidth="1"/>
    <col min="7" max="7" width="0.83203125" customWidth="1"/>
    <col min="8" max="8" width="10.5" customWidth="1"/>
    <col min="9" max="9" width="11.5" customWidth="1"/>
    <col min="10" max="10" width="5.5" customWidth="1"/>
    <col min="12" max="12" width="9.83203125" customWidth="1"/>
    <col min="14" max="14" width="0.83203125" customWidth="1"/>
    <col min="15" max="15" width="12.5" customWidth="1"/>
    <col min="16" max="16" width="10.1640625" customWidth="1"/>
    <col min="18" max="18" width="0.83203125" customWidth="1"/>
    <col min="19" max="19" width="12.5" customWidth="1"/>
    <col min="20" max="21" width="9.6640625" customWidth="1"/>
    <col min="22" max="22" width="0.83203125" customWidth="1"/>
    <col min="23" max="23" width="12.5" customWidth="1"/>
    <col min="24" max="24" width="9.6640625" customWidth="1"/>
    <col min="26" max="26" width="0.83203125" customWidth="1"/>
    <col min="27" max="27" width="13.5" customWidth="1"/>
    <col min="28" max="28" width="10.1640625" customWidth="1"/>
    <col min="29" max="29" width="0.83203125" customWidth="1"/>
    <col min="30" max="30" width="12.6640625" bestFit="1" customWidth="1"/>
    <col min="32" max="32" width="14.83203125" customWidth="1"/>
    <col min="33" max="33" width="12.6640625" bestFit="1" customWidth="1"/>
    <col min="35" max="35" width="14.83203125" customWidth="1"/>
    <col min="36" max="36" width="9.1640625" customWidth="1"/>
    <col min="37" max="37" width="0.83203125" customWidth="1"/>
    <col min="38" max="39" width="9.6640625" customWidth="1"/>
    <col min="40" max="40" width="10" customWidth="1"/>
    <col min="41" max="41" width="0.83203125" customWidth="1"/>
    <col min="42" max="42" width="12.6640625" bestFit="1" customWidth="1"/>
    <col min="43" max="43" width="9.6640625" customWidth="1"/>
    <col min="44" max="44" width="14.83203125" bestFit="1" customWidth="1"/>
    <col min="45" max="45" width="12.6640625" bestFit="1" customWidth="1"/>
    <col min="46" max="46" width="9.6640625" customWidth="1"/>
    <col min="47" max="47" width="14.83203125" bestFit="1" customWidth="1"/>
    <col min="48" max="48" width="10" customWidth="1"/>
    <col min="49" max="49" width="0.83203125" customWidth="1"/>
    <col min="50" max="52" width="9.6640625" customWidth="1"/>
    <col min="53" max="53" width="0.83203125" customWidth="1"/>
    <col min="54" max="54" width="12.5" bestFit="1" customWidth="1"/>
    <col min="55" max="55" width="0.83203125" customWidth="1"/>
    <col min="56" max="56" width="12.5" bestFit="1" customWidth="1"/>
    <col min="57" max="57" width="5.6640625" customWidth="1"/>
    <col min="59" max="59" width="5.6640625" customWidth="1"/>
    <col min="60" max="60" width="15.83203125" bestFit="1" customWidth="1"/>
    <col min="62" max="64" width="10.6640625" hidden="1" customWidth="1"/>
    <col min="65" max="65" width="9.33203125" hidden="1" customWidth="1"/>
  </cols>
  <sheetData>
    <row r="1" spans="1:65" x14ac:dyDescent="0.2">
      <c r="A1" s="2" t="s">
        <v>87</v>
      </c>
    </row>
    <row r="2" spans="1:65" x14ac:dyDescent="0.2">
      <c r="BB2" s="103" t="s">
        <v>46</v>
      </c>
    </row>
    <row r="3" spans="1:65" x14ac:dyDescent="0.2">
      <c r="B3" s="252" t="s">
        <v>0</v>
      </c>
      <c r="C3" s="252"/>
      <c r="D3" s="252"/>
      <c r="E3" s="252"/>
      <c r="F3" s="252"/>
      <c r="G3" s="252"/>
      <c r="H3" s="252"/>
      <c r="I3" s="50"/>
      <c r="K3" s="265" t="s">
        <v>1</v>
      </c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F3" s="13" t="s">
        <v>2</v>
      </c>
      <c r="BH3" s="17" t="s">
        <v>3</v>
      </c>
      <c r="BJ3" s="251" t="s">
        <v>4</v>
      </c>
      <c r="BK3" s="251"/>
      <c r="BL3" s="251"/>
      <c r="BM3" s="251"/>
    </row>
    <row r="4" spans="1:65" x14ac:dyDescent="0.2">
      <c r="B4" s="253" t="s">
        <v>47</v>
      </c>
      <c r="C4" s="253"/>
      <c r="D4" s="3"/>
      <c r="E4" s="253" t="s">
        <v>48</v>
      </c>
      <c r="F4" s="253"/>
      <c r="G4" s="3"/>
      <c r="H4" s="253" t="s">
        <v>49</v>
      </c>
      <c r="I4" s="253"/>
      <c r="K4" s="242" t="s">
        <v>10</v>
      </c>
      <c r="L4" s="242"/>
      <c r="M4" s="242"/>
      <c r="N4" s="3"/>
      <c r="O4" s="242" t="s">
        <v>11</v>
      </c>
      <c r="P4" s="242"/>
      <c r="Q4" s="242"/>
      <c r="R4" s="3"/>
      <c r="S4" s="242" t="s">
        <v>12</v>
      </c>
      <c r="T4" s="242"/>
      <c r="U4" s="242"/>
      <c r="V4" s="3"/>
      <c r="W4" s="242" t="s">
        <v>13</v>
      </c>
      <c r="X4" s="242"/>
      <c r="Y4" s="242"/>
      <c r="Z4" s="3"/>
      <c r="AA4" s="242" t="s">
        <v>15</v>
      </c>
      <c r="AB4" s="242"/>
      <c r="AC4" s="3"/>
      <c r="AD4" s="242" t="s">
        <v>16</v>
      </c>
      <c r="AE4" s="242"/>
      <c r="AF4" s="242"/>
      <c r="AG4" s="242"/>
      <c r="AH4" s="242"/>
      <c r="AI4" s="242"/>
      <c r="AJ4" s="242"/>
      <c r="AK4" s="12"/>
      <c r="AL4" s="242" t="s">
        <v>17</v>
      </c>
      <c r="AM4" s="242"/>
      <c r="AN4" s="242"/>
      <c r="AO4" s="3"/>
      <c r="AP4" s="242" t="s">
        <v>72</v>
      </c>
      <c r="AQ4" s="242"/>
      <c r="AR4" s="242"/>
      <c r="AS4" s="242"/>
      <c r="AT4" s="242"/>
      <c r="AU4" s="242"/>
      <c r="AV4" s="242"/>
      <c r="AW4" s="3"/>
      <c r="AX4" s="242" t="s">
        <v>19</v>
      </c>
      <c r="AY4" s="242"/>
      <c r="AZ4" s="242"/>
      <c r="BA4" s="3"/>
      <c r="BB4" s="23" t="s">
        <v>23</v>
      </c>
      <c r="BC4" s="12"/>
      <c r="BD4" s="9" t="s">
        <v>25</v>
      </c>
      <c r="BJ4" s="3"/>
      <c r="BK4" s="3"/>
      <c r="BL4" s="3"/>
      <c r="BM4" s="3"/>
    </row>
    <row r="5" spans="1:65" ht="15" customHeight="1" x14ac:dyDescent="0.2">
      <c r="B5" t="s">
        <v>50</v>
      </c>
      <c r="C5" t="s">
        <v>75</v>
      </c>
      <c r="D5" s="1"/>
      <c r="E5" t="s">
        <v>74</v>
      </c>
      <c r="F5" s="11" t="s">
        <v>75</v>
      </c>
      <c r="G5" s="1"/>
      <c r="H5" t="s">
        <v>74</v>
      </c>
      <c r="I5" s="11" t="s">
        <v>75</v>
      </c>
      <c r="K5" s="243" t="s">
        <v>26</v>
      </c>
      <c r="L5" s="243" t="s">
        <v>27</v>
      </c>
      <c r="M5" s="243" t="s">
        <v>28</v>
      </c>
      <c r="N5" s="10"/>
      <c r="O5" s="243" t="s">
        <v>29</v>
      </c>
      <c r="P5" s="243" t="s">
        <v>30</v>
      </c>
      <c r="Q5" s="243" t="s">
        <v>28</v>
      </c>
      <c r="R5" s="10"/>
      <c r="S5" s="243" t="s">
        <v>29</v>
      </c>
      <c r="T5" s="243" t="s">
        <v>30</v>
      </c>
      <c r="U5" s="243" t="s">
        <v>28</v>
      </c>
      <c r="V5" s="10"/>
      <c r="W5" s="243" t="s">
        <v>29</v>
      </c>
      <c r="X5" s="243" t="s">
        <v>30</v>
      </c>
      <c r="Y5" s="243" t="s">
        <v>28</v>
      </c>
      <c r="Z5" s="10"/>
      <c r="AA5" s="244" t="s">
        <v>76</v>
      </c>
      <c r="AB5" s="243" t="s">
        <v>28</v>
      </c>
      <c r="AC5" s="10"/>
      <c r="AD5" s="254" t="s">
        <v>77</v>
      </c>
      <c r="AE5" s="255"/>
      <c r="AF5" s="256"/>
      <c r="AG5" s="254" t="s">
        <v>53</v>
      </c>
      <c r="AH5" s="255"/>
      <c r="AI5" s="256"/>
      <c r="AJ5" s="241" t="s">
        <v>28</v>
      </c>
      <c r="AK5" s="11"/>
      <c r="AL5" s="241" t="s">
        <v>32</v>
      </c>
      <c r="AM5" s="247" t="s">
        <v>33</v>
      </c>
      <c r="AN5" s="243" t="s">
        <v>28</v>
      </c>
      <c r="AO5" s="10"/>
      <c r="AP5" s="254" t="s">
        <v>17</v>
      </c>
      <c r="AQ5" s="255"/>
      <c r="AR5" s="256"/>
      <c r="AS5" s="254" t="s">
        <v>53</v>
      </c>
      <c r="AT5" s="255"/>
      <c r="AU5" s="256"/>
      <c r="AV5" s="241" t="s">
        <v>28</v>
      </c>
      <c r="AW5" s="10"/>
      <c r="AX5" s="241" t="s">
        <v>35</v>
      </c>
      <c r="AY5" s="247" t="s">
        <v>33</v>
      </c>
      <c r="AZ5" s="243" t="s">
        <v>28</v>
      </c>
      <c r="BA5" s="10"/>
      <c r="BB5" s="11"/>
      <c r="BC5" s="11"/>
      <c r="BD5" s="241" t="s">
        <v>37</v>
      </c>
      <c r="BF5" s="241" t="s">
        <v>37</v>
      </c>
      <c r="BH5" s="241" t="s">
        <v>38</v>
      </c>
      <c r="BJ5" s="10" t="s">
        <v>39</v>
      </c>
      <c r="BK5" s="10" t="s">
        <v>40</v>
      </c>
      <c r="BL5" s="10" t="s">
        <v>41</v>
      </c>
      <c r="BM5" t="s">
        <v>10</v>
      </c>
    </row>
    <row r="6" spans="1:65" ht="16" x14ac:dyDescent="0.2">
      <c r="B6" s="1" t="s">
        <v>78</v>
      </c>
      <c r="C6" s="1" t="s">
        <v>78</v>
      </c>
      <c r="D6" s="1"/>
      <c r="E6" s="247" t="s">
        <v>38</v>
      </c>
      <c r="F6" s="247"/>
      <c r="G6" s="1"/>
      <c r="H6" s="241" t="s">
        <v>37</v>
      </c>
      <c r="I6" s="241"/>
      <c r="K6" s="243"/>
      <c r="L6" s="243"/>
      <c r="M6" s="243"/>
      <c r="N6" s="10"/>
      <c r="O6" s="243"/>
      <c r="P6" s="243"/>
      <c r="Q6" s="243"/>
      <c r="R6" s="10"/>
      <c r="S6" s="243"/>
      <c r="T6" s="243"/>
      <c r="U6" s="243"/>
      <c r="V6" s="10"/>
      <c r="W6" s="243"/>
      <c r="X6" s="243"/>
      <c r="Y6" s="243"/>
      <c r="Z6" s="10"/>
      <c r="AA6" s="244"/>
      <c r="AB6" s="243"/>
      <c r="AC6" s="10"/>
      <c r="AD6" s="18" t="s">
        <v>79</v>
      </c>
      <c r="AE6" s="18" t="s">
        <v>33</v>
      </c>
      <c r="AF6" s="19" t="s">
        <v>28</v>
      </c>
      <c r="AG6" s="18" t="s">
        <v>35</v>
      </c>
      <c r="AH6" s="18" t="s">
        <v>33</v>
      </c>
      <c r="AI6" s="19" t="s">
        <v>28</v>
      </c>
      <c r="AJ6" s="241"/>
      <c r="AK6" s="11"/>
      <c r="AL6" s="241"/>
      <c r="AM6" s="247"/>
      <c r="AN6" s="243"/>
      <c r="AO6" s="10"/>
      <c r="AP6" s="11" t="s">
        <v>35</v>
      </c>
      <c r="AQ6" s="11" t="s">
        <v>33</v>
      </c>
      <c r="AR6" s="10" t="s">
        <v>28</v>
      </c>
      <c r="AS6" s="11" t="s">
        <v>35</v>
      </c>
      <c r="AT6" s="11" t="s">
        <v>33</v>
      </c>
      <c r="AU6" s="10" t="s">
        <v>28</v>
      </c>
      <c r="AV6" s="241"/>
      <c r="AW6" s="10"/>
      <c r="AX6" s="241"/>
      <c r="AY6" s="247"/>
      <c r="AZ6" s="243"/>
      <c r="BA6" s="10"/>
      <c r="BB6" s="11" t="s">
        <v>117</v>
      </c>
      <c r="BC6" s="11"/>
      <c r="BD6" s="241"/>
      <c r="BF6" s="241"/>
      <c r="BH6" s="241"/>
      <c r="BJ6" s="249" t="s">
        <v>81</v>
      </c>
      <c r="BK6" s="249"/>
      <c r="BL6" s="249"/>
      <c r="BM6" s="249"/>
    </row>
    <row r="7" spans="1:65" x14ac:dyDescent="0.2">
      <c r="A7">
        <v>2021</v>
      </c>
      <c r="B7" s="52">
        <f>+'Grapes Margin - Baseline'!B7</f>
        <v>3566.9382174605998</v>
      </c>
      <c r="C7" s="52">
        <f>+'Grapes Margin - Baseline'!C7</f>
        <v>3000</v>
      </c>
      <c r="E7" s="27">
        <f>+'Grapes Margin - Baseline'!E7</f>
        <v>14.9</v>
      </c>
      <c r="F7" s="27">
        <f>+'Grapes Margin - Baseline'!F7</f>
        <v>15.4</v>
      </c>
      <c r="H7" s="20">
        <f t="shared" ref="H7:I41" si="0">+B7*E7</f>
        <v>53147.379440162942</v>
      </c>
      <c r="I7" s="20">
        <f t="shared" si="0"/>
        <v>46200</v>
      </c>
      <c r="J7" s="53"/>
      <c r="K7" s="52">
        <f>+'Grapes Margin - Baseline'!K7</f>
        <v>176</v>
      </c>
      <c r="L7" s="44">
        <f>+'Grapes Margin - Baseline'!L7</f>
        <v>2.4772727272727271</v>
      </c>
      <c r="M7" s="6">
        <f>+K7*L7</f>
        <v>435.99999999999994</v>
      </c>
      <c r="O7" s="27">
        <f>+'Grapes Margin - Baseline'!O7</f>
        <v>4</v>
      </c>
      <c r="P7" s="45">
        <f>+'Grapes Margin - Baseline'!P7</f>
        <v>50</v>
      </c>
      <c r="Q7" s="6">
        <f>+O7*P7</f>
        <v>200</v>
      </c>
      <c r="S7" s="27">
        <f>+'Grapes Margin - Baseline'!S7</f>
        <v>2</v>
      </c>
      <c r="T7" s="45">
        <f>+'Grapes Margin - Baseline'!T7</f>
        <v>50</v>
      </c>
      <c r="U7" s="6">
        <f>+S7*T7</f>
        <v>100</v>
      </c>
      <c r="W7" s="44">
        <f>+'Grapes Margin - Baseline'!W7</f>
        <v>8</v>
      </c>
      <c r="X7" s="45">
        <f>+'Grapes Margin - Baseline'!X7</f>
        <v>150</v>
      </c>
      <c r="Y7" s="21">
        <f>+W7*X7</f>
        <v>1200</v>
      </c>
      <c r="AA7" s="52">
        <f>+'Grapes Margin - Baseline'!AA7</f>
        <v>70</v>
      </c>
      <c r="AB7" s="6">
        <f t="shared" ref="AB7:AB41" si="1">+AA7*F7</f>
        <v>1078</v>
      </c>
      <c r="AD7" s="52">
        <f>+'Grapes Margin - Baseline'!AD7</f>
        <v>15.4</v>
      </c>
      <c r="AE7" s="52">
        <f>+'Grapes Margin - Baseline'!AE7</f>
        <v>300</v>
      </c>
      <c r="AF7" s="21">
        <f>+AD7*AE7</f>
        <v>4620</v>
      </c>
      <c r="AG7" s="52">
        <f>+'Grapes Margin - Baseline'!AG7</f>
        <v>32</v>
      </c>
      <c r="AH7" s="52">
        <f>+'Grapes Margin - Baseline'!AH7</f>
        <v>75</v>
      </c>
      <c r="AI7" s="21">
        <f>+AG7*AH7</f>
        <v>2400</v>
      </c>
      <c r="AJ7" s="21">
        <f t="shared" ref="AJ7:AJ41" si="2">+AF7+AI7</f>
        <v>7020</v>
      </c>
      <c r="AL7" s="27">
        <f>+'Grapes Margin - Baseline'!AL7</f>
        <v>0.5</v>
      </c>
      <c r="AM7" s="52">
        <f>+'Grapes Margin - Baseline'!AM7</f>
        <v>99</v>
      </c>
      <c r="AN7" s="6">
        <f>+AL7*AM7</f>
        <v>49.5</v>
      </c>
      <c r="AP7" s="52">
        <f>+'Grapes Margin - Baseline'!AP7</f>
        <v>36</v>
      </c>
      <c r="AQ7" s="52">
        <f>+'Grapes Margin - Baseline'!AQ7</f>
        <v>22.5</v>
      </c>
      <c r="AR7" s="21">
        <f>+AP7*AQ7</f>
        <v>810</v>
      </c>
      <c r="AS7" s="52">
        <f>+'Grapes Margin - Baseline'!AS7</f>
        <v>60</v>
      </c>
      <c r="AT7" s="52">
        <f>+'Grapes Margin - Baseline'!AT7</f>
        <v>22.5</v>
      </c>
      <c r="AU7" s="21">
        <f>+AS7*AT7</f>
        <v>1350</v>
      </c>
      <c r="AV7" s="21">
        <f>+AR7+AU7</f>
        <v>2160</v>
      </c>
      <c r="AX7" s="52">
        <f>+'Grapes Margin - Baseline'!AX7</f>
        <v>231</v>
      </c>
      <c r="AY7" s="52">
        <f>+'Grapes Margin - Baseline'!AY7</f>
        <v>22.5</v>
      </c>
      <c r="AZ7" s="21">
        <f>+AX7*AY7</f>
        <v>5197.5</v>
      </c>
      <c r="BB7" s="6">
        <f>4.93*F7</f>
        <v>75.921999999999997</v>
      </c>
      <c r="BD7" s="21">
        <f t="shared" ref="BD7:BD41" si="3">+M7+Q7+U7+Y7+AB7+AJ7+AN7+AV7+AZ7+BB7</f>
        <v>17516.921999999999</v>
      </c>
      <c r="BF7" s="21">
        <f t="shared" ref="BF7:BF41" si="4">+I7-BD7</f>
        <v>28683.078000000001</v>
      </c>
      <c r="BH7" s="51">
        <f>+(M7+Q7+U7+Y7+AF7+AI7+AN7+AR7+AU7+AZ7)/(C7-AA7-11)</f>
        <v>5.6056868790681742</v>
      </c>
      <c r="BJ7" s="4">
        <f>+'Almonds Margin - Alter.Ex.Rate'!BN7</f>
        <v>128.4</v>
      </c>
      <c r="BK7" s="4">
        <f>+'Almonds Margin - Alter.Ex.Rate'!BO7</f>
        <v>141.80000000000001</v>
      </c>
      <c r="BL7" s="4">
        <f>+'Almonds Margin - Alter.Ex.Rate'!BP7</f>
        <v>76.917089432293665</v>
      </c>
      <c r="BM7" s="4">
        <f>+'Almonds Margin - Alter.Ex.Rate'!BQ7</f>
        <v>99.691915734713831</v>
      </c>
    </row>
    <row r="8" spans="1:65" x14ac:dyDescent="0.2">
      <c r="A8" s="8">
        <f t="shared" ref="A8:A41" si="5">+A7+1</f>
        <v>2022</v>
      </c>
      <c r="B8" s="22">
        <f>+'Grapes Margin - Baseline'!B8</f>
        <v>3638.2769818098118</v>
      </c>
      <c r="C8" s="22">
        <f>+C7*BJ8/BJ7</f>
        <v>3043.9252336448599</v>
      </c>
      <c r="E8" s="15">
        <f>E7*((E$21/E$7)^(1/($A$21-$A$7)))</f>
        <v>14.742788817361202</v>
      </c>
      <c r="F8" s="15">
        <f>F7*((F$21/F$7)^(1/($A$21-$A$7)))</f>
        <v>15.237513274319632</v>
      </c>
      <c r="H8" s="22">
        <f t="shared" si="0"/>
        <v>53638.349201888355</v>
      </c>
      <c r="I8" s="22">
        <f t="shared" si="0"/>
        <v>46381.851153700038</v>
      </c>
      <c r="K8" s="54">
        <f>+K7</f>
        <v>176</v>
      </c>
      <c r="L8" s="14">
        <f t="shared" ref="L8:L41" si="6">+L7*$BM8/$BM7</f>
        <v>2.4637603305785123</v>
      </c>
      <c r="M8" s="7">
        <f t="shared" ref="M8:M41" si="7">+K8*L8</f>
        <v>433.62181818181818</v>
      </c>
      <c r="O8" s="15">
        <f>+O7</f>
        <v>4</v>
      </c>
      <c r="P8" s="7">
        <f t="shared" ref="P8:P41" si="8">+P7*$BM8/$BM7</f>
        <v>49.727272727272727</v>
      </c>
      <c r="Q8" s="7">
        <f t="shared" ref="Q8:Q41" si="9">+O8*P8</f>
        <v>198.90909090909091</v>
      </c>
      <c r="S8" s="15">
        <f>+S7</f>
        <v>2</v>
      </c>
      <c r="T8" s="7">
        <f t="shared" ref="T8:T41" si="10">+T7*$BM8/$BM7</f>
        <v>49.727272727272727</v>
      </c>
      <c r="U8" s="7">
        <f t="shared" ref="U8:U41" si="11">+S8*T8</f>
        <v>99.454545454545453</v>
      </c>
      <c r="W8" s="14">
        <f>+W7</f>
        <v>8</v>
      </c>
      <c r="X8" s="7">
        <f t="shared" ref="X8:X41" si="12">+X7*$BM8/$BM7</f>
        <v>149.18181818181819</v>
      </c>
      <c r="Y8" s="22">
        <f t="shared" ref="Y8:Y41" si="13">+W8*X8</f>
        <v>1193.4545454545455</v>
      </c>
      <c r="AA8" s="7">
        <f t="shared" ref="AA8:AA41" si="14">+AA7*(0.5*$BK8/$BK7+0.5*$BL8/$BL7)</f>
        <v>71.12</v>
      </c>
      <c r="AB8" s="7">
        <f t="shared" si="1"/>
        <v>1083.6919440696122</v>
      </c>
      <c r="AD8" s="7">
        <f>+AD7</f>
        <v>15.4</v>
      </c>
      <c r="AE8" s="7">
        <f t="shared" ref="AE8:AE41" si="15">+AE7*(0.5*$BK8/$BK7+0.5*$BL8/$BL7)</f>
        <v>304.8</v>
      </c>
      <c r="AF8" s="22">
        <f t="shared" ref="AF8:AF41" si="16">+AD8*AE8</f>
        <v>4693.92</v>
      </c>
      <c r="AG8" s="7">
        <f>+AG7</f>
        <v>32</v>
      </c>
      <c r="AH8" s="7">
        <f t="shared" ref="AH8:AH41" si="17">+AH7*(0.5*$BK8/$BK7+0.5*$BL8/$BL7)</f>
        <v>76.2</v>
      </c>
      <c r="AI8" s="22">
        <f t="shared" ref="AI8:AI41" si="18">+AG8*AH8</f>
        <v>2438.4</v>
      </c>
      <c r="AJ8" s="22">
        <f t="shared" si="2"/>
        <v>7132.32</v>
      </c>
      <c r="AL8" s="15">
        <f>+AL7</f>
        <v>0.5</v>
      </c>
      <c r="AM8" s="7">
        <f t="shared" ref="AM8:AM41" si="19">+AM7*BJ8/BJ7</f>
        <v>100.44953271028037</v>
      </c>
      <c r="AN8" s="7">
        <f t="shared" ref="AN8:AN41" si="20">+AL8*AM8</f>
        <v>50.224766355140183</v>
      </c>
      <c r="AP8" s="7">
        <f>+AP7</f>
        <v>36</v>
      </c>
      <c r="AQ8" s="7">
        <f t="shared" ref="AQ8:AQ41" si="21">+AQ7*$BK8/$BK7</f>
        <v>23.22</v>
      </c>
      <c r="AR8" s="22">
        <f t="shared" ref="AR8:AR41" si="22">+AP8*AQ8</f>
        <v>835.92</v>
      </c>
      <c r="AS8" s="7">
        <f>+AS7</f>
        <v>60</v>
      </c>
      <c r="AT8" s="7">
        <f t="shared" ref="AT8:AT41" si="23">+AT7*$BK8/$BK7</f>
        <v>23.22</v>
      </c>
      <c r="AU8" s="22">
        <f t="shared" ref="AU8:AU41" si="24">+AS8*AT8</f>
        <v>1393.1999999999998</v>
      </c>
      <c r="AV8" s="22">
        <f t="shared" ref="AV8:AV41" si="25">+AR8+AU8</f>
        <v>2229.12</v>
      </c>
      <c r="AX8" s="7">
        <f>+AX7</f>
        <v>231</v>
      </c>
      <c r="AY8" s="7">
        <f t="shared" ref="AY8:AY41" si="26">+AY7*$BK8/$BK7</f>
        <v>23.22</v>
      </c>
      <c r="AZ8" s="22">
        <f>+AX8*AY8</f>
        <v>5363.82</v>
      </c>
      <c r="BB8" s="7">
        <f>4.93*F8</f>
        <v>75.120940442395778</v>
      </c>
      <c r="BD8" s="22">
        <f t="shared" si="3"/>
        <v>17859.737650867151</v>
      </c>
      <c r="BF8" s="22">
        <f t="shared" si="4"/>
        <v>28522.113502832886</v>
      </c>
      <c r="BH8" s="15">
        <f t="shared" ref="BH8:BH41" si="27">+(M8+Q8+U8+Y8+AF8+AI8+AN8+AR8+AU8+AZ8)/(C8-AA8-11)</f>
        <v>5.63876536398804</v>
      </c>
      <c r="BJ8" s="7">
        <f>+'Almonds Margin - Alter.Ex.Rate'!BN8</f>
        <v>130.28</v>
      </c>
      <c r="BK8" s="7">
        <f>+'Almonds Margin - Alter.Ex.Rate'!BO8</f>
        <v>146.33760000000001</v>
      </c>
      <c r="BL8" s="7">
        <f>+'Almonds Margin - Alter.Ex.Rate'!BP8</f>
        <v>76.917089432293665</v>
      </c>
      <c r="BM8" s="7">
        <f>+'Almonds Margin - Alter.Ex.Rate'!BQ8</f>
        <v>99.148141648888128</v>
      </c>
    </row>
    <row r="9" spans="1:65" x14ac:dyDescent="0.2">
      <c r="A9" s="8">
        <f t="shared" si="5"/>
        <v>2023</v>
      </c>
      <c r="B9" s="22">
        <f>+'Grapes Margin - Baseline'!B9</f>
        <v>3601.8942119917137</v>
      </c>
      <c r="C9" s="22">
        <f t="shared" ref="C9:C41" si="28">+C8*BJ9/BJ8</f>
        <v>3150.467289719626</v>
      </c>
      <c r="E9" s="15">
        <f t="shared" ref="E9:F20" si="29">E8*((E$21/E$7)^(1/($A$21-$A$7)))</f>
        <v>14.587236383443658</v>
      </c>
      <c r="F9" s="15">
        <f t="shared" si="29"/>
        <v>15.076740960069284</v>
      </c>
      <c r="H9" s="22">
        <f t="shared" si="0"/>
        <v>52541.682298480649</v>
      </c>
      <c r="I9" s="22">
        <f t="shared" si="0"/>
        <v>47498.779230274347</v>
      </c>
      <c r="K9" s="54">
        <f t="shared" ref="K9:K41" si="30">+K8</f>
        <v>176</v>
      </c>
      <c r="L9" s="14">
        <f t="shared" si="6"/>
        <v>2.3382450835962896</v>
      </c>
      <c r="M9" s="7">
        <f t="shared" si="7"/>
        <v>411.53113471294694</v>
      </c>
      <c r="O9" s="15">
        <f t="shared" ref="O9:O41" si="31">+O8</f>
        <v>4</v>
      </c>
      <c r="P9" s="7">
        <f t="shared" si="8"/>
        <v>47.193937467081071</v>
      </c>
      <c r="Q9" s="7">
        <f t="shared" si="9"/>
        <v>188.77574986832428</v>
      </c>
      <c r="S9" s="15">
        <f t="shared" ref="S9:S41" si="32">+S8</f>
        <v>2</v>
      </c>
      <c r="T9" s="7">
        <f t="shared" si="10"/>
        <v>47.193937467081071</v>
      </c>
      <c r="U9" s="7">
        <f t="shared" si="11"/>
        <v>94.387874934162141</v>
      </c>
      <c r="W9" s="14">
        <f t="shared" ref="W9:W41" si="33">+W8</f>
        <v>8</v>
      </c>
      <c r="X9" s="7">
        <f t="shared" si="12"/>
        <v>141.58181240124324</v>
      </c>
      <c r="Y9" s="22">
        <f t="shared" si="13"/>
        <v>1132.6544992099459</v>
      </c>
      <c r="AA9" s="7">
        <f t="shared" si="14"/>
        <v>70.413172390415298</v>
      </c>
      <c r="AB9" s="7">
        <f t="shared" si="1"/>
        <v>1061.601160306994</v>
      </c>
      <c r="AD9" s="7">
        <f t="shared" ref="AD9:AD41" si="34">+AD8</f>
        <v>15.4</v>
      </c>
      <c r="AE9" s="7">
        <f t="shared" si="15"/>
        <v>301.77073881606555</v>
      </c>
      <c r="AF9" s="22">
        <f t="shared" si="16"/>
        <v>4647.2693777674094</v>
      </c>
      <c r="AG9" s="7">
        <f t="shared" ref="AG9:AG41" si="35">+AG8</f>
        <v>32</v>
      </c>
      <c r="AH9" s="7">
        <f t="shared" si="17"/>
        <v>75.442684704016386</v>
      </c>
      <c r="AI9" s="22">
        <f t="shared" si="18"/>
        <v>2414.1659105285244</v>
      </c>
      <c r="AJ9" s="22">
        <f t="shared" si="2"/>
        <v>7061.4352882959338</v>
      </c>
      <c r="AL9" s="15">
        <f t="shared" ref="AL9:AL41" si="36">+AL8</f>
        <v>0.5</v>
      </c>
      <c r="AM9" s="7">
        <f t="shared" si="19"/>
        <v>103.96542056074766</v>
      </c>
      <c r="AN9" s="7">
        <f t="shared" si="20"/>
        <v>51.98271028037383</v>
      </c>
      <c r="AP9" s="7">
        <f t="shared" ref="AP9:AP41" si="37">+AP8</f>
        <v>36</v>
      </c>
      <c r="AQ9" s="7">
        <f t="shared" si="21"/>
        <v>23.963039999999996</v>
      </c>
      <c r="AR9" s="22">
        <f t="shared" si="22"/>
        <v>862.6694399999999</v>
      </c>
      <c r="AS9" s="7">
        <f t="shared" ref="AS9:AS41" si="38">+AS8</f>
        <v>60</v>
      </c>
      <c r="AT9" s="7">
        <f t="shared" si="23"/>
        <v>23.963039999999996</v>
      </c>
      <c r="AU9" s="22">
        <f t="shared" si="24"/>
        <v>1437.7823999999998</v>
      </c>
      <c r="AV9" s="22">
        <f t="shared" si="25"/>
        <v>2300.4518399999997</v>
      </c>
      <c r="AX9" s="7">
        <f t="shared" ref="AX9:AX41" si="39">+AX8</f>
        <v>231</v>
      </c>
      <c r="AY9" s="7">
        <f t="shared" si="26"/>
        <v>23.963039999999996</v>
      </c>
      <c r="AZ9" s="22">
        <f t="shared" ref="AZ9:AZ41" si="40">+AX9*AY9</f>
        <v>5535.4622399999989</v>
      </c>
      <c r="BB9" s="7">
        <f t="shared" ref="BB9:BB41" si="41">4.93*F9</f>
        <v>74.328332933141567</v>
      </c>
      <c r="BD9" s="22">
        <f t="shared" si="3"/>
        <v>17912.61083054182</v>
      </c>
      <c r="BF9" s="22">
        <f t="shared" si="4"/>
        <v>29586.168399732527</v>
      </c>
      <c r="BH9" s="15">
        <f t="shared" si="27"/>
        <v>5.4664012741167598</v>
      </c>
      <c r="BJ9" s="7">
        <f>+'Almonds Margin - Alter.Ex.Rate'!BN9</f>
        <v>134.84</v>
      </c>
      <c r="BK9" s="7">
        <f>+'Almonds Margin - Alter.Ex.Rate'!BO9</f>
        <v>151.0204032</v>
      </c>
      <c r="BL9" s="7">
        <f>+'Almonds Margin - Alter.Ex.Rate'!BP9</f>
        <v>72.926858361808939</v>
      </c>
      <c r="BM9" s="7">
        <f>+'Almonds Margin - Alter.Ex.Rate'!BQ9</f>
        <v>94.09708074315202</v>
      </c>
    </row>
    <row r="10" spans="1:65" x14ac:dyDescent="0.2">
      <c r="A10" s="8">
        <f t="shared" si="5"/>
        <v>2024</v>
      </c>
      <c r="B10" s="22">
        <f>+'Grapes Margin - Baseline'!B10</f>
        <v>3565.8752698717967</v>
      </c>
      <c r="C10" s="22">
        <f t="shared" si="28"/>
        <v>3229.2056074766356</v>
      </c>
      <c r="E10" s="15">
        <f t="shared" si="29"/>
        <v>14.43332519664682</v>
      </c>
      <c r="F10" s="15">
        <f t="shared" si="29"/>
        <v>14.917664968346378</v>
      </c>
      <c r="H10" s="22">
        <f t="shared" si="0"/>
        <v>51467.437380740383</v>
      </c>
      <c r="I10" s="22">
        <f t="shared" si="0"/>
        <v>48172.207366241892</v>
      </c>
      <c r="K10" s="54">
        <f t="shared" si="30"/>
        <v>176</v>
      </c>
      <c r="L10" s="14">
        <f t="shared" si="6"/>
        <v>2.2656194227526187</v>
      </c>
      <c r="M10" s="7">
        <f t="shared" si="7"/>
        <v>398.74901840446091</v>
      </c>
      <c r="O10" s="15">
        <f t="shared" si="31"/>
        <v>4</v>
      </c>
      <c r="P10" s="7">
        <f t="shared" si="8"/>
        <v>45.72809844087854</v>
      </c>
      <c r="Q10" s="7">
        <f t="shared" si="9"/>
        <v>182.91239376351416</v>
      </c>
      <c r="S10" s="15">
        <f t="shared" si="32"/>
        <v>2</v>
      </c>
      <c r="T10" s="7">
        <f t="shared" si="10"/>
        <v>45.72809844087854</v>
      </c>
      <c r="U10" s="7">
        <f t="shared" si="11"/>
        <v>91.45619688175708</v>
      </c>
      <c r="W10" s="14">
        <f t="shared" si="33"/>
        <v>8</v>
      </c>
      <c r="X10" s="7">
        <f t="shared" si="12"/>
        <v>137.18429532263565</v>
      </c>
      <c r="Y10" s="22">
        <f t="shared" si="13"/>
        <v>1097.4743625810852</v>
      </c>
      <c r="AA10" s="7">
        <f t="shared" si="14"/>
        <v>70.670325140297564</v>
      </c>
      <c r="AB10" s="7">
        <f t="shared" si="1"/>
        <v>1054.2362336470653</v>
      </c>
      <c r="AD10" s="7">
        <f t="shared" si="34"/>
        <v>15.4</v>
      </c>
      <c r="AE10" s="7">
        <f t="shared" si="15"/>
        <v>302.8728220298467</v>
      </c>
      <c r="AF10" s="22">
        <f t="shared" si="16"/>
        <v>4664.2414592596397</v>
      </c>
      <c r="AG10" s="7">
        <f t="shared" si="35"/>
        <v>32</v>
      </c>
      <c r="AH10" s="7">
        <f t="shared" si="17"/>
        <v>75.718205507461676</v>
      </c>
      <c r="AI10" s="22">
        <f t="shared" si="18"/>
        <v>2422.9825762387736</v>
      </c>
      <c r="AJ10" s="22">
        <f t="shared" si="2"/>
        <v>7087.2240354984133</v>
      </c>
      <c r="AL10" s="15">
        <f t="shared" si="36"/>
        <v>0.5</v>
      </c>
      <c r="AM10" s="7">
        <f t="shared" si="19"/>
        <v>106.56378504672897</v>
      </c>
      <c r="AN10" s="7">
        <f t="shared" si="20"/>
        <v>53.281892523364483</v>
      </c>
      <c r="AP10" s="7">
        <f t="shared" si="37"/>
        <v>36</v>
      </c>
      <c r="AQ10" s="7">
        <f t="shared" si="21"/>
        <v>24.729857279999997</v>
      </c>
      <c r="AR10" s="22">
        <f t="shared" si="22"/>
        <v>890.27486207999993</v>
      </c>
      <c r="AS10" s="7">
        <f t="shared" si="38"/>
        <v>60</v>
      </c>
      <c r="AT10" s="7">
        <f t="shared" si="23"/>
        <v>24.729857279999997</v>
      </c>
      <c r="AU10" s="22">
        <f t="shared" si="24"/>
        <v>1483.7914367999999</v>
      </c>
      <c r="AV10" s="22">
        <f t="shared" si="25"/>
        <v>2374.06629888</v>
      </c>
      <c r="AX10" s="7">
        <f t="shared" si="39"/>
        <v>231</v>
      </c>
      <c r="AY10" s="7">
        <f t="shared" si="26"/>
        <v>24.729857279999997</v>
      </c>
      <c r="AZ10" s="22">
        <f t="shared" si="40"/>
        <v>5712.5970316799994</v>
      </c>
      <c r="BB10" s="7">
        <f t="shared" si="41"/>
        <v>73.544088293947638</v>
      </c>
      <c r="BD10" s="22">
        <f t="shared" si="3"/>
        <v>18125.541552153609</v>
      </c>
      <c r="BF10" s="22">
        <f t="shared" si="4"/>
        <v>30046.665814088283</v>
      </c>
      <c r="BH10" s="15">
        <f t="shared" si="27"/>
        <v>5.4003401727066809</v>
      </c>
      <c r="BJ10" s="7">
        <f>+'Almonds Margin - Alter.Ex.Rate'!BN10</f>
        <v>138.21</v>
      </c>
      <c r="BK10" s="7">
        <f>+'Almonds Margin - Alter.Ex.Rate'!BO10</f>
        <v>155.85305610240002</v>
      </c>
      <c r="BL10" s="7">
        <f>+'Almonds Margin - Alter.Ex.Rate'!BP10</f>
        <v>71.125864630807527</v>
      </c>
      <c r="BM10" s="7">
        <f>+'Almonds Margin - Alter.Ex.Rate'!BQ10</f>
        <v>91.174434729535264</v>
      </c>
    </row>
    <row r="11" spans="1:65" x14ac:dyDescent="0.2">
      <c r="A11" s="8">
        <f t="shared" si="5"/>
        <v>2025</v>
      </c>
      <c r="B11" s="22">
        <f>+'Grapes Margin - Baseline'!B11</f>
        <v>3530.2165171730785</v>
      </c>
      <c r="C11" s="22">
        <f t="shared" si="28"/>
        <v>3332.5401869158877</v>
      </c>
      <c r="E11" s="15">
        <f t="shared" si="29"/>
        <v>14.281037940031034</v>
      </c>
      <c r="F11" s="15">
        <f t="shared" si="29"/>
        <v>14.760267401105901</v>
      </c>
      <c r="H11" s="22">
        <f t="shared" si="0"/>
        <v>50415.156018272952</v>
      </c>
      <c r="I11" s="22">
        <f t="shared" si="0"/>
        <v>49189.184283809947</v>
      </c>
      <c r="K11" s="54">
        <f t="shared" si="30"/>
        <v>176</v>
      </c>
      <c r="L11" s="14">
        <f t="shared" si="6"/>
        <v>2.2307288192038999</v>
      </c>
      <c r="M11" s="7">
        <f t="shared" si="7"/>
        <v>392.6082721798864</v>
      </c>
      <c r="O11" s="15">
        <f t="shared" si="31"/>
        <v>4</v>
      </c>
      <c r="P11" s="7">
        <f t="shared" si="8"/>
        <v>45.023884424298899</v>
      </c>
      <c r="Q11" s="7">
        <f t="shared" si="9"/>
        <v>180.0955376971956</v>
      </c>
      <c r="S11" s="15">
        <f t="shared" si="32"/>
        <v>2</v>
      </c>
      <c r="T11" s="7">
        <f t="shared" si="10"/>
        <v>45.023884424298899</v>
      </c>
      <c r="U11" s="7">
        <f t="shared" si="11"/>
        <v>90.047768848597798</v>
      </c>
      <c r="W11" s="14">
        <f t="shared" si="33"/>
        <v>8</v>
      </c>
      <c r="X11" s="7">
        <f t="shared" si="12"/>
        <v>135.0716532728967</v>
      </c>
      <c r="Y11" s="22">
        <f t="shared" si="13"/>
        <v>1080.5732261831736</v>
      </c>
      <c r="AA11" s="7">
        <f t="shared" si="14"/>
        <v>71.553792961147877</v>
      </c>
      <c r="AB11" s="7">
        <f t="shared" si="1"/>
        <v>1056.1531176699118</v>
      </c>
      <c r="AD11" s="7">
        <f t="shared" si="34"/>
        <v>15.4</v>
      </c>
      <c r="AE11" s="7">
        <f t="shared" si="15"/>
        <v>306.65911269063372</v>
      </c>
      <c r="AF11" s="22">
        <f t="shared" si="16"/>
        <v>4722.5503354357597</v>
      </c>
      <c r="AG11" s="7">
        <f t="shared" si="35"/>
        <v>32</v>
      </c>
      <c r="AH11" s="7">
        <f t="shared" si="17"/>
        <v>76.66477817265843</v>
      </c>
      <c r="AI11" s="22">
        <f t="shared" si="18"/>
        <v>2453.2729015250698</v>
      </c>
      <c r="AJ11" s="22">
        <f t="shared" si="2"/>
        <v>7175.8232369608295</v>
      </c>
      <c r="AL11" s="15">
        <f t="shared" si="36"/>
        <v>0.5</v>
      </c>
      <c r="AM11" s="7">
        <f t="shared" si="19"/>
        <v>109.97382616822429</v>
      </c>
      <c r="AN11" s="7">
        <f t="shared" si="20"/>
        <v>54.986913084112146</v>
      </c>
      <c r="AP11" s="7">
        <f t="shared" si="37"/>
        <v>36</v>
      </c>
      <c r="AQ11" s="7">
        <f t="shared" si="21"/>
        <v>25.521212712959993</v>
      </c>
      <c r="AR11" s="22">
        <f t="shared" si="22"/>
        <v>918.76365766655977</v>
      </c>
      <c r="AS11" s="7">
        <f t="shared" si="38"/>
        <v>60</v>
      </c>
      <c r="AT11" s="7">
        <f t="shared" si="23"/>
        <v>25.521212712959993</v>
      </c>
      <c r="AU11" s="22">
        <f t="shared" si="24"/>
        <v>1531.2727627775996</v>
      </c>
      <c r="AV11" s="22">
        <f t="shared" si="25"/>
        <v>2450.0364204441594</v>
      </c>
      <c r="AX11" s="7">
        <f t="shared" si="39"/>
        <v>231</v>
      </c>
      <c r="AY11" s="7">
        <f t="shared" si="26"/>
        <v>25.521212712959993</v>
      </c>
      <c r="AZ11" s="22">
        <f t="shared" si="40"/>
        <v>5895.4001366937582</v>
      </c>
      <c r="BB11" s="7">
        <f t="shared" si="41"/>
        <v>72.768118287452083</v>
      </c>
      <c r="BD11" s="22">
        <f t="shared" si="3"/>
        <v>18448.492748049077</v>
      </c>
      <c r="BF11" s="22">
        <f t="shared" si="4"/>
        <v>30740.69153576087</v>
      </c>
      <c r="BH11" s="15">
        <f t="shared" si="27"/>
        <v>5.3291212370327568</v>
      </c>
      <c r="BJ11" s="7">
        <f>+'Almonds Margin - Alter.Ex.Rate'!BN11</f>
        <v>142.63272000000001</v>
      </c>
      <c r="BK11" s="7">
        <f>+'Almonds Margin - Alter.Ex.Rate'!BO11</f>
        <v>160.84035389767681</v>
      </c>
      <c r="BL11" s="7">
        <f>+'Almonds Margin - Alter.Ex.Rate'!BP11</f>
        <v>70.628162235831525</v>
      </c>
      <c r="BM11" s="7">
        <f>+'Almonds Margin - Alter.Ex.Rate'!BQ11</f>
        <v>89.770345841534009</v>
      </c>
    </row>
    <row r="12" spans="1:65" x14ac:dyDescent="0.2">
      <c r="A12" s="8">
        <f t="shared" si="5"/>
        <v>2026</v>
      </c>
      <c r="B12" s="22">
        <f>+'Grapes Margin - Baseline'!B12</f>
        <v>3494.9143520013477</v>
      </c>
      <c r="C12" s="22">
        <f t="shared" si="28"/>
        <v>3439.1814728971958</v>
      </c>
      <c r="E12" s="15">
        <f t="shared" si="29"/>
        <v>14.130357479369167</v>
      </c>
      <c r="F12" s="15">
        <f t="shared" si="29"/>
        <v>14.604530549146656</v>
      </c>
      <c r="H12" s="22">
        <f t="shared" si="0"/>
        <v>49384.389153556884</v>
      </c>
      <c r="I12" s="22">
        <f t="shared" si="0"/>
        <v>50227.630884986291</v>
      </c>
      <c r="K12" s="54">
        <f t="shared" si="30"/>
        <v>176</v>
      </c>
      <c r="L12" s="14">
        <f t="shared" si="6"/>
        <v>2.2278445886769047</v>
      </c>
      <c r="M12" s="7">
        <f t="shared" si="7"/>
        <v>392.10064760713522</v>
      </c>
      <c r="O12" s="15">
        <f t="shared" si="31"/>
        <v>4</v>
      </c>
      <c r="P12" s="7">
        <f t="shared" si="8"/>
        <v>44.965670597148538</v>
      </c>
      <c r="Q12" s="7">
        <f t="shared" si="9"/>
        <v>179.86268238859415</v>
      </c>
      <c r="S12" s="15">
        <f t="shared" si="32"/>
        <v>2</v>
      </c>
      <c r="T12" s="7">
        <f t="shared" si="10"/>
        <v>44.965670597148538</v>
      </c>
      <c r="U12" s="7">
        <f t="shared" si="11"/>
        <v>89.931341194297076</v>
      </c>
      <c r="W12" s="14">
        <f t="shared" si="33"/>
        <v>8</v>
      </c>
      <c r="X12" s="7">
        <f t="shared" si="12"/>
        <v>134.89701179144561</v>
      </c>
      <c r="Y12" s="22">
        <f t="shared" si="13"/>
        <v>1079.1760943315649</v>
      </c>
      <c r="AA12" s="7">
        <f t="shared" si="14"/>
        <v>73.732355440882401</v>
      </c>
      <c r="AB12" s="7">
        <f t="shared" si="1"/>
        <v>1076.8264374969067</v>
      </c>
      <c r="AD12" s="7">
        <f t="shared" si="34"/>
        <v>15.4</v>
      </c>
      <c r="AE12" s="7">
        <f t="shared" si="15"/>
        <v>315.99580903235312</v>
      </c>
      <c r="AF12" s="22">
        <f t="shared" si="16"/>
        <v>4866.3354590982381</v>
      </c>
      <c r="AG12" s="7">
        <f t="shared" si="35"/>
        <v>32</v>
      </c>
      <c r="AH12" s="7">
        <f t="shared" si="17"/>
        <v>78.998952258088281</v>
      </c>
      <c r="AI12" s="22">
        <f t="shared" si="18"/>
        <v>2527.966472258825</v>
      </c>
      <c r="AJ12" s="22">
        <f t="shared" si="2"/>
        <v>7394.301931357063</v>
      </c>
      <c r="AL12" s="15">
        <f t="shared" si="36"/>
        <v>0.5</v>
      </c>
      <c r="AM12" s="7">
        <f t="shared" si="19"/>
        <v>113.49298860560747</v>
      </c>
      <c r="AN12" s="7">
        <f t="shared" si="20"/>
        <v>56.746494302803733</v>
      </c>
      <c r="AP12" s="7">
        <f t="shared" si="37"/>
        <v>36</v>
      </c>
      <c r="AQ12" s="7">
        <f t="shared" si="21"/>
        <v>26.337891519774711</v>
      </c>
      <c r="AR12" s="22">
        <f t="shared" si="22"/>
        <v>948.16409471188956</v>
      </c>
      <c r="AS12" s="7">
        <f t="shared" si="38"/>
        <v>60</v>
      </c>
      <c r="AT12" s="7">
        <f t="shared" si="23"/>
        <v>26.337891519774711</v>
      </c>
      <c r="AU12" s="22">
        <f t="shared" si="24"/>
        <v>1580.2734911864827</v>
      </c>
      <c r="AV12" s="22">
        <f t="shared" si="25"/>
        <v>2528.4375858983722</v>
      </c>
      <c r="AX12" s="7">
        <f t="shared" si="39"/>
        <v>231</v>
      </c>
      <c r="AY12" s="7">
        <f t="shared" si="26"/>
        <v>26.337891519774711</v>
      </c>
      <c r="AZ12" s="22">
        <f t="shared" si="40"/>
        <v>6084.0529410679583</v>
      </c>
      <c r="BB12" s="7">
        <f t="shared" si="41"/>
        <v>72.00033560729301</v>
      </c>
      <c r="BD12" s="22">
        <f t="shared" si="3"/>
        <v>18953.436491251989</v>
      </c>
      <c r="BF12" s="22">
        <f t="shared" si="4"/>
        <v>31274.194393734302</v>
      </c>
      <c r="BH12" s="15">
        <f t="shared" si="27"/>
        <v>5.3077596632764141</v>
      </c>
      <c r="BJ12" s="7">
        <f>+'Almonds Margin - Alter.Ex.Rate'!BN12</f>
        <v>147.19696704</v>
      </c>
      <c r="BK12" s="7">
        <f>+'Almonds Margin - Alter.Ex.Rate'!BO12</f>
        <v>165.98724522240246</v>
      </c>
      <c r="BL12" s="7">
        <f>+'Almonds Margin - Alter.Ex.Rate'!BP12</f>
        <v>72.668821574006429</v>
      </c>
      <c r="BM12" s="7">
        <f>+'Almonds Margin - Alter.Ex.Rate'!BQ12</f>
        <v>89.654276882516626</v>
      </c>
    </row>
    <row r="13" spans="1:65" x14ac:dyDescent="0.2">
      <c r="A13" s="8">
        <f t="shared" si="5"/>
        <v>2027</v>
      </c>
      <c r="B13" s="22">
        <f>+'Grapes Margin - Baseline'!B13</f>
        <v>3494.9143520013477</v>
      </c>
      <c r="C13" s="22">
        <f t="shared" si="28"/>
        <v>3549.2352800299059</v>
      </c>
      <c r="E13" s="15">
        <f t="shared" si="29"/>
        <v>13.98126686121879</v>
      </c>
      <c r="F13" s="15">
        <f t="shared" si="29"/>
        <v>14.45043689011875</v>
      </c>
      <c r="H13" s="22">
        <f t="shared" si="0"/>
        <v>48863.330212434383</v>
      </c>
      <c r="I13" s="22">
        <f t="shared" si="0"/>
        <v>51288.000422255107</v>
      </c>
      <c r="K13" s="54">
        <f t="shared" si="30"/>
        <v>176</v>
      </c>
      <c r="L13" s="14">
        <f t="shared" si="6"/>
        <v>2.2724014804504429</v>
      </c>
      <c r="M13" s="7">
        <f t="shared" si="7"/>
        <v>399.94266055927795</v>
      </c>
      <c r="O13" s="15">
        <f t="shared" si="31"/>
        <v>4</v>
      </c>
      <c r="P13" s="7">
        <f t="shared" si="8"/>
        <v>45.864984009091508</v>
      </c>
      <c r="Q13" s="7">
        <f t="shared" si="9"/>
        <v>183.45993603636603</v>
      </c>
      <c r="S13" s="15">
        <f t="shared" si="32"/>
        <v>2</v>
      </c>
      <c r="T13" s="7">
        <f t="shared" si="10"/>
        <v>45.864984009091508</v>
      </c>
      <c r="U13" s="7">
        <f t="shared" si="11"/>
        <v>91.729968018183015</v>
      </c>
      <c r="W13" s="14">
        <f t="shared" si="33"/>
        <v>8</v>
      </c>
      <c r="X13" s="7">
        <f t="shared" si="12"/>
        <v>137.5949520272745</v>
      </c>
      <c r="Y13" s="22">
        <f t="shared" si="13"/>
        <v>1100.759616218196</v>
      </c>
      <c r="AA13" s="7">
        <f t="shared" si="14"/>
        <v>75.90470383509242</v>
      </c>
      <c r="AB13" s="7">
        <f t="shared" si="1"/>
        <v>1096.8561324321577</v>
      </c>
      <c r="AD13" s="7">
        <f t="shared" si="34"/>
        <v>15.4</v>
      </c>
      <c r="AE13" s="7">
        <f t="shared" si="15"/>
        <v>325.30587357896746</v>
      </c>
      <c r="AF13" s="22">
        <f t="shared" si="16"/>
        <v>5009.7104531160994</v>
      </c>
      <c r="AG13" s="7">
        <f t="shared" si="35"/>
        <v>32</v>
      </c>
      <c r="AH13" s="7">
        <f t="shared" si="17"/>
        <v>81.326468394741866</v>
      </c>
      <c r="AI13" s="22">
        <f t="shared" si="18"/>
        <v>2602.4469886317397</v>
      </c>
      <c r="AJ13" s="22">
        <f t="shared" si="2"/>
        <v>7612.1574417478387</v>
      </c>
      <c r="AL13" s="15">
        <f t="shared" si="36"/>
        <v>0.5</v>
      </c>
      <c r="AM13" s="7">
        <f t="shared" si="19"/>
        <v>117.12476424098692</v>
      </c>
      <c r="AN13" s="7">
        <f t="shared" si="20"/>
        <v>58.56238212049346</v>
      </c>
      <c r="AP13" s="7">
        <f t="shared" si="37"/>
        <v>36</v>
      </c>
      <c r="AQ13" s="7">
        <f t="shared" si="21"/>
        <v>27.180704048407499</v>
      </c>
      <c r="AR13" s="22">
        <f t="shared" si="22"/>
        <v>978.50534574266999</v>
      </c>
      <c r="AS13" s="7">
        <f t="shared" si="38"/>
        <v>60</v>
      </c>
      <c r="AT13" s="7">
        <f t="shared" si="23"/>
        <v>27.180704048407499</v>
      </c>
      <c r="AU13" s="22">
        <f t="shared" si="24"/>
        <v>1630.8422429044499</v>
      </c>
      <c r="AV13" s="22">
        <f t="shared" si="25"/>
        <v>2609.3475886471197</v>
      </c>
      <c r="AX13" s="7">
        <f t="shared" si="39"/>
        <v>231</v>
      </c>
      <c r="AY13" s="7">
        <f t="shared" si="26"/>
        <v>27.180704048407499</v>
      </c>
      <c r="AZ13" s="22">
        <f t="shared" si="40"/>
        <v>6278.7426351821323</v>
      </c>
      <c r="BB13" s="7">
        <f t="shared" si="41"/>
        <v>71.240653868285435</v>
      </c>
      <c r="BD13" s="22">
        <f t="shared" si="3"/>
        <v>19502.799014830052</v>
      </c>
      <c r="BF13" s="22">
        <f t="shared" si="4"/>
        <v>31785.201407425055</v>
      </c>
      <c r="BH13" s="15">
        <f t="shared" si="27"/>
        <v>5.295479973688674</v>
      </c>
      <c r="BJ13" s="7">
        <f>+'Almonds Margin - Alter.Ex.Rate'!BN13</f>
        <v>151.90726998528001</v>
      </c>
      <c r="BK13" s="7">
        <f>+'Almonds Margin - Alter.Ex.Rate'!BO13</f>
        <v>171.29883706951935</v>
      </c>
      <c r="BL13" s="7">
        <f>+'Almonds Margin - Alter.Ex.Rate'!BP13</f>
        <v>74.625447083007742</v>
      </c>
      <c r="BM13" s="7">
        <f>+'Almonds Margin - Alter.Ex.Rate'!BQ13</f>
        <v>91.447362420166954</v>
      </c>
    </row>
    <row r="14" spans="1:65" x14ac:dyDescent="0.2">
      <c r="A14" s="8">
        <f t="shared" si="5"/>
        <v>2028</v>
      </c>
      <c r="B14" s="22">
        <f>+'Grapes Margin - Baseline'!B14</f>
        <v>3494.9143520013477</v>
      </c>
      <c r="C14" s="22">
        <f t="shared" si="28"/>
        <v>3662.8108089908628</v>
      </c>
      <c r="E14" s="15">
        <f t="shared" si="29"/>
        <v>13.833749311014707</v>
      </c>
      <c r="F14" s="15">
        <f t="shared" si="29"/>
        <v>14.297969086552113</v>
      </c>
      <c r="H14" s="22">
        <f t="shared" si="0"/>
        <v>48347.769009054049</v>
      </c>
      <c r="I14" s="22">
        <f t="shared" si="0"/>
        <v>52370.755716840293</v>
      </c>
      <c r="K14" s="54">
        <f t="shared" si="30"/>
        <v>176</v>
      </c>
      <c r="L14" s="14">
        <f t="shared" si="6"/>
        <v>2.3169583722239806</v>
      </c>
      <c r="M14" s="7">
        <f t="shared" si="7"/>
        <v>407.78467351142058</v>
      </c>
      <c r="O14" s="15">
        <f t="shared" si="31"/>
        <v>4</v>
      </c>
      <c r="P14" s="7">
        <f t="shared" si="8"/>
        <v>46.76429742103447</v>
      </c>
      <c r="Q14" s="7">
        <f t="shared" si="9"/>
        <v>187.05718968413788</v>
      </c>
      <c r="S14" s="15">
        <f t="shared" si="32"/>
        <v>2</v>
      </c>
      <c r="T14" s="7">
        <f t="shared" si="10"/>
        <v>46.76429742103447</v>
      </c>
      <c r="U14" s="7">
        <f t="shared" si="11"/>
        <v>93.528594842068941</v>
      </c>
      <c r="W14" s="14">
        <f t="shared" si="33"/>
        <v>8</v>
      </c>
      <c r="X14" s="7">
        <f t="shared" si="12"/>
        <v>140.2928922631034</v>
      </c>
      <c r="Y14" s="22">
        <f t="shared" si="13"/>
        <v>1122.3431381048272</v>
      </c>
      <c r="AA14" s="7">
        <f t="shared" si="14"/>
        <v>77.119179096453905</v>
      </c>
      <c r="AB14" s="7">
        <f t="shared" si="1"/>
        <v>1102.6476387013738</v>
      </c>
      <c r="AD14" s="7">
        <f t="shared" si="34"/>
        <v>15.4</v>
      </c>
      <c r="AE14" s="7">
        <f t="shared" si="15"/>
        <v>330.51076755623097</v>
      </c>
      <c r="AF14" s="22">
        <f t="shared" si="16"/>
        <v>5089.865820365957</v>
      </c>
      <c r="AG14" s="7">
        <f t="shared" si="35"/>
        <v>32</v>
      </c>
      <c r="AH14" s="7">
        <f t="shared" si="17"/>
        <v>82.627691889057743</v>
      </c>
      <c r="AI14" s="22">
        <f t="shared" si="18"/>
        <v>2644.0861404498478</v>
      </c>
      <c r="AJ14" s="22">
        <f t="shared" si="2"/>
        <v>7733.9519608158043</v>
      </c>
      <c r="AL14" s="15">
        <f t="shared" si="36"/>
        <v>0.5</v>
      </c>
      <c r="AM14" s="7">
        <f t="shared" si="19"/>
        <v>120.87275669669849</v>
      </c>
      <c r="AN14" s="7">
        <f t="shared" si="20"/>
        <v>60.436378348349244</v>
      </c>
      <c r="AP14" s="7">
        <f t="shared" si="37"/>
        <v>36</v>
      </c>
      <c r="AQ14" s="7">
        <f t="shared" si="21"/>
        <v>28.050486577956541</v>
      </c>
      <c r="AR14" s="22">
        <f t="shared" si="22"/>
        <v>1009.8175168064355</v>
      </c>
      <c r="AS14" s="7">
        <f t="shared" si="38"/>
        <v>60</v>
      </c>
      <c r="AT14" s="7">
        <f t="shared" si="23"/>
        <v>28.050486577956541</v>
      </c>
      <c r="AU14" s="22">
        <f t="shared" si="24"/>
        <v>1683.0291946773925</v>
      </c>
      <c r="AV14" s="22">
        <f t="shared" si="25"/>
        <v>2692.8467114838281</v>
      </c>
      <c r="AX14" s="7">
        <f t="shared" si="39"/>
        <v>231</v>
      </c>
      <c r="AY14" s="7">
        <f t="shared" si="26"/>
        <v>28.050486577956541</v>
      </c>
      <c r="AZ14" s="22">
        <f t="shared" si="40"/>
        <v>6479.6623995079608</v>
      </c>
      <c r="BB14" s="7">
        <f t="shared" si="41"/>
        <v>70.488987596701918</v>
      </c>
      <c r="BD14" s="22">
        <f t="shared" si="3"/>
        <v>19950.747672596473</v>
      </c>
      <c r="BF14" s="22">
        <f t="shared" si="4"/>
        <v>32420.008044243819</v>
      </c>
      <c r="BH14" s="15">
        <f t="shared" si="27"/>
        <v>5.252931718435546</v>
      </c>
      <c r="BJ14" s="7">
        <f>+'Almonds Margin - Alter.Ex.Rate'!BN14</f>
        <v>156.76830262480897</v>
      </c>
      <c r="BK14" s="7">
        <f>+'Almonds Margin - Alter.Ex.Rate'!BO14</f>
        <v>176.78039985574398</v>
      </c>
      <c r="BL14" s="7">
        <f>+'Almonds Margin - Alter.Ex.Rate'!BP14</f>
        <v>74.625447083007742</v>
      </c>
      <c r="BM14" s="7">
        <f>+'Almonds Margin - Alter.Ex.Rate'!BQ14</f>
        <v>93.240447957817267</v>
      </c>
    </row>
    <row r="15" spans="1:65" x14ac:dyDescent="0.2">
      <c r="A15" s="8">
        <f t="shared" si="5"/>
        <v>2029</v>
      </c>
      <c r="B15" s="22">
        <f>+'Grapes Margin - Baseline'!B15</f>
        <v>3494.9143520013477</v>
      </c>
      <c r="C15" s="22">
        <f t="shared" si="28"/>
        <v>3780.0207548785702</v>
      </c>
      <c r="E15" s="15">
        <f t="shared" si="29"/>
        <v>13.687788231181601</v>
      </c>
      <c r="F15" s="15">
        <f t="shared" si="29"/>
        <v>14.147109983905816</v>
      </c>
      <c r="H15" s="22">
        <f t="shared" si="0"/>
        <v>47837.647536311721</v>
      </c>
      <c r="I15" s="22">
        <f t="shared" si="0"/>
        <v>53476.369360713819</v>
      </c>
      <c r="K15" s="54">
        <f t="shared" si="30"/>
        <v>176</v>
      </c>
      <c r="L15" s="14">
        <f t="shared" si="6"/>
        <v>2.3615152639975183</v>
      </c>
      <c r="M15" s="7">
        <f t="shared" si="7"/>
        <v>415.6266864635632</v>
      </c>
      <c r="O15" s="15">
        <f t="shared" si="31"/>
        <v>4</v>
      </c>
      <c r="P15" s="7">
        <f t="shared" si="8"/>
        <v>47.663610832977433</v>
      </c>
      <c r="Q15" s="7">
        <f t="shared" si="9"/>
        <v>190.65444333190973</v>
      </c>
      <c r="S15" s="15">
        <f t="shared" si="32"/>
        <v>2</v>
      </c>
      <c r="T15" s="7">
        <f t="shared" si="10"/>
        <v>47.663610832977433</v>
      </c>
      <c r="U15" s="7">
        <f t="shared" si="11"/>
        <v>95.327221665954866</v>
      </c>
      <c r="W15" s="14">
        <f t="shared" si="33"/>
        <v>8</v>
      </c>
      <c r="X15" s="7">
        <f t="shared" si="12"/>
        <v>142.99083249893229</v>
      </c>
      <c r="Y15" s="22">
        <f t="shared" si="13"/>
        <v>1143.9266599914583</v>
      </c>
      <c r="AA15" s="7">
        <f t="shared" si="14"/>
        <v>78.353085961997166</v>
      </c>
      <c r="AB15" s="7">
        <f t="shared" si="1"/>
        <v>1108.4697246828007</v>
      </c>
      <c r="AD15" s="7">
        <f t="shared" si="34"/>
        <v>15.4</v>
      </c>
      <c r="AE15" s="7">
        <f t="shared" si="15"/>
        <v>335.79893983713066</v>
      </c>
      <c r="AF15" s="22">
        <f t="shared" si="16"/>
        <v>5171.3036734918123</v>
      </c>
      <c r="AG15" s="7">
        <f t="shared" si="35"/>
        <v>32</v>
      </c>
      <c r="AH15" s="7">
        <f t="shared" si="17"/>
        <v>83.949734959282665</v>
      </c>
      <c r="AI15" s="22">
        <f t="shared" si="18"/>
        <v>2686.3915186970453</v>
      </c>
      <c r="AJ15" s="22">
        <f t="shared" si="2"/>
        <v>7857.6951921888576</v>
      </c>
      <c r="AL15" s="15">
        <f t="shared" si="36"/>
        <v>0.5</v>
      </c>
      <c r="AM15" s="7">
        <f t="shared" si="19"/>
        <v>124.74068491099284</v>
      </c>
      <c r="AN15" s="7">
        <f t="shared" si="20"/>
        <v>62.37034245549642</v>
      </c>
      <c r="AP15" s="7">
        <f t="shared" si="37"/>
        <v>36</v>
      </c>
      <c r="AQ15" s="7">
        <f t="shared" si="21"/>
        <v>28.948102148451149</v>
      </c>
      <c r="AR15" s="22">
        <f t="shared" si="22"/>
        <v>1042.1316773442413</v>
      </c>
      <c r="AS15" s="7">
        <f t="shared" si="38"/>
        <v>60</v>
      </c>
      <c r="AT15" s="7">
        <f t="shared" si="23"/>
        <v>28.948102148451149</v>
      </c>
      <c r="AU15" s="22">
        <f t="shared" si="24"/>
        <v>1736.886128907069</v>
      </c>
      <c r="AV15" s="22">
        <f t="shared" si="25"/>
        <v>2779.0178062513105</v>
      </c>
      <c r="AX15" s="7">
        <f t="shared" si="39"/>
        <v>231</v>
      </c>
      <c r="AY15" s="7">
        <f t="shared" si="26"/>
        <v>28.948102148451149</v>
      </c>
      <c r="AZ15" s="22">
        <f t="shared" si="40"/>
        <v>6687.0115962922155</v>
      </c>
      <c r="BB15" s="7">
        <f t="shared" si="41"/>
        <v>69.745252220655672</v>
      </c>
      <c r="BD15" s="22">
        <f t="shared" si="3"/>
        <v>20409.844925544221</v>
      </c>
      <c r="BF15" s="22">
        <f t="shared" si="4"/>
        <v>33066.524435169602</v>
      </c>
      <c r="BH15" s="15">
        <f t="shared" si="27"/>
        <v>5.210880977068947</v>
      </c>
      <c r="BJ15" s="7">
        <f>+'Almonds Margin - Alter.Ex.Rate'!BN15</f>
        <v>161.78488830880286</v>
      </c>
      <c r="BK15" s="7">
        <f>+'Almonds Margin - Alter.Ex.Rate'!BO15</f>
        <v>182.43737265112779</v>
      </c>
      <c r="BL15" s="7">
        <f>+'Almonds Margin - Alter.Ex.Rate'!BP15</f>
        <v>74.625447083007757</v>
      </c>
      <c r="BM15" s="7">
        <f>+'Almonds Margin - Alter.Ex.Rate'!BQ15</f>
        <v>95.03353349546758</v>
      </c>
    </row>
    <row r="16" spans="1:65" x14ac:dyDescent="0.2">
      <c r="A16" s="8">
        <f t="shared" si="5"/>
        <v>2030</v>
      </c>
      <c r="B16" s="22">
        <f>+'Grapes Margin - Baseline'!B16</f>
        <v>3494.9143520013477</v>
      </c>
      <c r="C16" s="22">
        <f t="shared" si="28"/>
        <v>3900.9814190346842</v>
      </c>
      <c r="E16" s="15">
        <f t="shared" si="29"/>
        <v>13.543367199266603</v>
      </c>
      <c r="F16" s="15">
        <f t="shared" si="29"/>
        <v>13.997842608637965</v>
      </c>
      <c r="H16" s="22">
        <f t="shared" si="0"/>
        <v>47332.908399141146</v>
      </c>
      <c r="I16" s="22">
        <f t="shared" si="0"/>
        <v>54605.323922868694</v>
      </c>
      <c r="K16" s="54">
        <f t="shared" si="30"/>
        <v>176</v>
      </c>
      <c r="L16" s="14">
        <f t="shared" si="6"/>
        <v>2.4149835341257639</v>
      </c>
      <c r="M16" s="7">
        <f t="shared" si="7"/>
        <v>425.03710200613443</v>
      </c>
      <c r="O16" s="15">
        <f t="shared" si="31"/>
        <v>4</v>
      </c>
      <c r="P16" s="7">
        <f t="shared" si="8"/>
        <v>48.742786927308998</v>
      </c>
      <c r="Q16" s="7">
        <f t="shared" si="9"/>
        <v>194.97114770923599</v>
      </c>
      <c r="S16" s="15">
        <f t="shared" si="32"/>
        <v>2</v>
      </c>
      <c r="T16" s="7">
        <f t="shared" si="10"/>
        <v>48.742786927308998</v>
      </c>
      <c r="U16" s="7">
        <f t="shared" si="11"/>
        <v>97.485573854617996</v>
      </c>
      <c r="W16" s="14">
        <f t="shared" si="33"/>
        <v>8</v>
      </c>
      <c r="X16" s="7">
        <f t="shared" si="12"/>
        <v>146.22836078192697</v>
      </c>
      <c r="Y16" s="22">
        <f t="shared" si="13"/>
        <v>1169.8268862554157</v>
      </c>
      <c r="AA16" s="7">
        <f t="shared" si="14"/>
        <v>79.606735337389125</v>
      </c>
      <c r="AB16" s="7">
        <f t="shared" si="1"/>
        <v>1114.322551840271</v>
      </c>
      <c r="AD16" s="7">
        <f t="shared" si="34"/>
        <v>15.4</v>
      </c>
      <c r="AE16" s="7">
        <f t="shared" si="15"/>
        <v>341.17172287452473</v>
      </c>
      <c r="AF16" s="22">
        <f t="shared" si="16"/>
        <v>5254.0445322676806</v>
      </c>
      <c r="AG16" s="7">
        <f t="shared" si="35"/>
        <v>32</v>
      </c>
      <c r="AH16" s="7">
        <f t="shared" si="17"/>
        <v>85.292930718631183</v>
      </c>
      <c r="AI16" s="22">
        <f t="shared" si="18"/>
        <v>2729.3737829961979</v>
      </c>
      <c r="AJ16" s="22">
        <f t="shared" si="2"/>
        <v>7983.418315263878</v>
      </c>
      <c r="AL16" s="15">
        <f t="shared" si="36"/>
        <v>0.5</v>
      </c>
      <c r="AM16" s="7">
        <f t="shared" si="19"/>
        <v>128.7323868281446</v>
      </c>
      <c r="AN16" s="7">
        <f t="shared" si="20"/>
        <v>64.366193414072299</v>
      </c>
      <c r="AP16" s="7">
        <f t="shared" si="37"/>
        <v>36</v>
      </c>
      <c r="AQ16" s="7">
        <f t="shared" si="21"/>
        <v>29.874441417201584</v>
      </c>
      <c r="AR16" s="22">
        <f t="shared" si="22"/>
        <v>1075.4798910192571</v>
      </c>
      <c r="AS16" s="7">
        <f t="shared" si="38"/>
        <v>60</v>
      </c>
      <c r="AT16" s="7">
        <f t="shared" si="23"/>
        <v>29.874441417201584</v>
      </c>
      <c r="AU16" s="22">
        <f t="shared" si="24"/>
        <v>1792.4664850320951</v>
      </c>
      <c r="AV16" s="22">
        <f t="shared" si="25"/>
        <v>2867.9463760513522</v>
      </c>
      <c r="AX16" s="7">
        <f t="shared" si="39"/>
        <v>231</v>
      </c>
      <c r="AY16" s="7">
        <f t="shared" si="26"/>
        <v>29.874441417201584</v>
      </c>
      <c r="AZ16" s="22">
        <f t="shared" si="40"/>
        <v>6900.9959673735657</v>
      </c>
      <c r="BB16" s="7">
        <f t="shared" si="41"/>
        <v>69.00936406058517</v>
      </c>
      <c r="BD16" s="22">
        <f t="shared" si="3"/>
        <v>20887.379477829127</v>
      </c>
      <c r="BF16" s="22">
        <f t="shared" si="4"/>
        <v>33717.944445039568</v>
      </c>
      <c r="BH16" s="15">
        <f t="shared" si="27"/>
        <v>5.1711574838642846</v>
      </c>
      <c r="BJ16" s="7">
        <f>+'Almonds Margin - Alter.Ex.Rate'!BN16</f>
        <v>166.96200473468454</v>
      </c>
      <c r="BK16" s="7">
        <f>+'Almonds Margin - Alter.Ex.Rate'!BO16</f>
        <v>188.27536857596388</v>
      </c>
      <c r="BL16" s="7">
        <f>+'Almonds Margin - Alter.Ex.Rate'!BP16</f>
        <v>74.625447083007757</v>
      </c>
      <c r="BM16" s="7">
        <f>+'Almonds Margin - Alter.Ex.Rate'!BQ16</f>
        <v>97.185236140647973</v>
      </c>
    </row>
    <row r="17" spans="1:65" x14ac:dyDescent="0.2">
      <c r="A17" s="8">
        <f t="shared" si="5"/>
        <v>2031</v>
      </c>
      <c r="B17" s="22">
        <f>+'Grapes Margin - Baseline'!B17</f>
        <v>3494.9143520013477</v>
      </c>
      <c r="C17" s="22">
        <f t="shared" si="28"/>
        <v>4025.8128244437944</v>
      </c>
      <c r="E17" s="15">
        <f t="shared" si="29"/>
        <v>13.400469966091556</v>
      </c>
      <c r="F17" s="15">
        <f t="shared" si="29"/>
        <v>13.85015016629597</v>
      </c>
      <c r="H17" s="22">
        <f t="shared" si="0"/>
        <v>46833.494808056392</v>
      </c>
      <c r="I17" s="22">
        <f t="shared" si="0"/>
        <v>55758.112159946671</v>
      </c>
      <c r="K17" s="54">
        <f t="shared" si="30"/>
        <v>176</v>
      </c>
      <c r="L17" s="14">
        <f t="shared" si="6"/>
        <v>2.4666695285830684</v>
      </c>
      <c r="M17" s="7">
        <f t="shared" si="7"/>
        <v>434.13383703062004</v>
      </c>
      <c r="O17" s="15">
        <f t="shared" si="31"/>
        <v>4</v>
      </c>
      <c r="P17" s="7">
        <f t="shared" si="8"/>
        <v>49.785990485162856</v>
      </c>
      <c r="Q17" s="7">
        <f t="shared" si="9"/>
        <v>199.14396194065142</v>
      </c>
      <c r="S17" s="15">
        <f t="shared" si="32"/>
        <v>2</v>
      </c>
      <c r="T17" s="7">
        <f t="shared" si="10"/>
        <v>49.785990485162856</v>
      </c>
      <c r="U17" s="7">
        <f t="shared" si="11"/>
        <v>99.571980970325711</v>
      </c>
      <c r="W17" s="14">
        <f t="shared" si="33"/>
        <v>8</v>
      </c>
      <c r="X17" s="7">
        <f t="shared" si="12"/>
        <v>149.35797145548852</v>
      </c>
      <c r="Y17" s="22">
        <f t="shared" si="13"/>
        <v>1194.8637716439082</v>
      </c>
      <c r="AA17" s="7">
        <f t="shared" si="14"/>
        <v>80.880443102787353</v>
      </c>
      <c r="AB17" s="7">
        <f t="shared" si="1"/>
        <v>1120.206282490162</v>
      </c>
      <c r="AD17" s="7">
        <f t="shared" si="34"/>
        <v>15.4</v>
      </c>
      <c r="AE17" s="7">
        <f t="shared" si="15"/>
        <v>346.63047044051712</v>
      </c>
      <c r="AF17" s="22">
        <f t="shared" si="16"/>
        <v>5338.1092447839637</v>
      </c>
      <c r="AG17" s="7">
        <f t="shared" si="35"/>
        <v>32</v>
      </c>
      <c r="AH17" s="7">
        <f t="shared" si="17"/>
        <v>86.657617610129279</v>
      </c>
      <c r="AI17" s="22">
        <f t="shared" si="18"/>
        <v>2773.0437635241369</v>
      </c>
      <c r="AJ17" s="22">
        <f t="shared" si="2"/>
        <v>8111.1530083081007</v>
      </c>
      <c r="AL17" s="15">
        <f t="shared" si="36"/>
        <v>0.5</v>
      </c>
      <c r="AM17" s="7">
        <f t="shared" si="19"/>
        <v>132.85182320664524</v>
      </c>
      <c r="AN17" s="7">
        <f t="shared" si="20"/>
        <v>66.425911603322618</v>
      </c>
      <c r="AP17" s="7">
        <f t="shared" si="37"/>
        <v>36</v>
      </c>
      <c r="AQ17" s="7">
        <f t="shared" si="21"/>
        <v>30.83042354255203</v>
      </c>
      <c r="AR17" s="22">
        <f t="shared" si="22"/>
        <v>1109.8952475318731</v>
      </c>
      <c r="AS17" s="7">
        <f t="shared" si="38"/>
        <v>60</v>
      </c>
      <c r="AT17" s="7">
        <f t="shared" si="23"/>
        <v>30.83042354255203</v>
      </c>
      <c r="AU17" s="22">
        <f t="shared" si="24"/>
        <v>1849.8254125531219</v>
      </c>
      <c r="AV17" s="22">
        <f t="shared" si="25"/>
        <v>2959.720660084995</v>
      </c>
      <c r="AX17" s="7">
        <f t="shared" si="39"/>
        <v>231</v>
      </c>
      <c r="AY17" s="7">
        <f t="shared" si="26"/>
        <v>30.83042354255203</v>
      </c>
      <c r="AZ17" s="22">
        <f t="shared" si="40"/>
        <v>7121.8278383295192</v>
      </c>
      <c r="BB17" s="7">
        <f t="shared" si="41"/>
        <v>68.281240319839128</v>
      </c>
      <c r="BD17" s="22">
        <f t="shared" si="3"/>
        <v>21375.328492721444</v>
      </c>
      <c r="BF17" s="22">
        <f t="shared" si="4"/>
        <v>34382.783667225231</v>
      </c>
      <c r="BH17" s="15">
        <f t="shared" si="27"/>
        <v>5.1314661801660426</v>
      </c>
      <c r="BJ17" s="7">
        <f>+'Almonds Margin - Alter.Ex.Rate'!BN17</f>
        <v>172.30478888619444</v>
      </c>
      <c r="BK17" s="7">
        <f>+'Almonds Margin - Alter.Ex.Rate'!BO17</f>
        <v>194.30018037039471</v>
      </c>
      <c r="BL17" s="7">
        <f>+'Almonds Margin - Alter.Ex.Rate'!BP17</f>
        <v>74.625447083007771</v>
      </c>
      <c r="BM17" s="7">
        <f>+'Almonds Margin - Alter.Ex.Rate'!BQ17</f>
        <v>99.265215364322373</v>
      </c>
    </row>
    <row r="18" spans="1:65" x14ac:dyDescent="0.2">
      <c r="A18" s="8">
        <f t="shared" si="5"/>
        <v>2032</v>
      </c>
      <c r="B18" s="22">
        <f>+'Grapes Margin - Baseline'!B18</f>
        <v>3494.9143520013477</v>
      </c>
      <c r="C18" s="22">
        <f t="shared" si="28"/>
        <v>4154.6388348259952</v>
      </c>
      <c r="E18" s="15">
        <f t="shared" si="29"/>
        <v>13.259080453924781</v>
      </c>
      <c r="F18" s="15">
        <f t="shared" si="29"/>
        <v>13.704016039626953</v>
      </c>
      <c r="H18" s="22">
        <f t="shared" si="0"/>
        <v>46339.350572762261</v>
      </c>
      <c r="I18" s="22">
        <f t="shared" si="0"/>
        <v>56935.237231312472</v>
      </c>
      <c r="K18" s="54">
        <f t="shared" si="30"/>
        <v>176</v>
      </c>
      <c r="L18" s="14">
        <f t="shared" si="6"/>
        <v>2.5183555230403729</v>
      </c>
      <c r="M18" s="7">
        <f t="shared" si="7"/>
        <v>443.23057205510565</v>
      </c>
      <c r="O18" s="15">
        <f t="shared" si="31"/>
        <v>4</v>
      </c>
      <c r="P18" s="7">
        <f t="shared" si="8"/>
        <v>50.829194043016699</v>
      </c>
      <c r="Q18" s="7">
        <f t="shared" si="9"/>
        <v>203.3167761720668</v>
      </c>
      <c r="S18" s="15">
        <f t="shared" si="32"/>
        <v>2</v>
      </c>
      <c r="T18" s="7">
        <f t="shared" si="10"/>
        <v>50.829194043016699</v>
      </c>
      <c r="U18" s="7">
        <f t="shared" si="11"/>
        <v>101.6583880860334</v>
      </c>
      <c r="W18" s="14">
        <f t="shared" si="33"/>
        <v>8</v>
      </c>
      <c r="X18" s="7">
        <f t="shared" si="12"/>
        <v>152.48758212905005</v>
      </c>
      <c r="Y18" s="22">
        <f t="shared" si="13"/>
        <v>1219.9006570324004</v>
      </c>
      <c r="AA18" s="7">
        <f t="shared" si="14"/>
        <v>82.174530192431959</v>
      </c>
      <c r="AB18" s="7">
        <f t="shared" si="1"/>
        <v>1126.1210798058969</v>
      </c>
      <c r="AD18" s="7">
        <f t="shared" si="34"/>
        <v>15.4</v>
      </c>
      <c r="AE18" s="7">
        <f t="shared" si="15"/>
        <v>352.17655796756537</v>
      </c>
      <c r="AF18" s="22">
        <f t="shared" si="16"/>
        <v>5423.5189927005067</v>
      </c>
      <c r="AG18" s="7">
        <f t="shared" si="35"/>
        <v>32</v>
      </c>
      <c r="AH18" s="7">
        <f t="shared" si="17"/>
        <v>88.044139491891343</v>
      </c>
      <c r="AI18" s="22">
        <f t="shared" si="18"/>
        <v>2817.412463740523</v>
      </c>
      <c r="AJ18" s="22">
        <f t="shared" si="2"/>
        <v>8240.9314564410306</v>
      </c>
      <c r="AL18" s="15">
        <f t="shared" si="36"/>
        <v>0.5</v>
      </c>
      <c r="AM18" s="7">
        <f t="shared" si="19"/>
        <v>137.10308154925789</v>
      </c>
      <c r="AN18" s="7">
        <f t="shared" si="20"/>
        <v>68.551540774628947</v>
      </c>
      <c r="AP18" s="7">
        <f t="shared" si="37"/>
        <v>36</v>
      </c>
      <c r="AQ18" s="7">
        <f t="shared" si="21"/>
        <v>31.816997095913695</v>
      </c>
      <c r="AR18" s="22">
        <f t="shared" si="22"/>
        <v>1145.4118954528931</v>
      </c>
      <c r="AS18" s="7">
        <f t="shared" si="38"/>
        <v>60</v>
      </c>
      <c r="AT18" s="7">
        <f t="shared" si="23"/>
        <v>31.816997095913695</v>
      </c>
      <c r="AU18" s="22">
        <f t="shared" si="24"/>
        <v>1909.0198257548218</v>
      </c>
      <c r="AV18" s="22">
        <f t="shared" si="25"/>
        <v>3054.4317212077149</v>
      </c>
      <c r="AX18" s="7">
        <f t="shared" si="39"/>
        <v>231</v>
      </c>
      <c r="AY18" s="7">
        <f t="shared" si="26"/>
        <v>31.816997095913695</v>
      </c>
      <c r="AZ18" s="22">
        <f t="shared" si="40"/>
        <v>7349.7263291560639</v>
      </c>
      <c r="BB18" s="7">
        <f t="shared" si="41"/>
        <v>67.560799075360876</v>
      </c>
      <c r="BD18" s="22">
        <f t="shared" si="3"/>
        <v>21875.429319806302</v>
      </c>
      <c r="BF18" s="22">
        <f t="shared" si="4"/>
        <v>35059.80791150617</v>
      </c>
      <c r="BH18" s="15">
        <f t="shared" si="27"/>
        <v>5.0921898826809979</v>
      </c>
      <c r="BJ18" s="7">
        <f>+'Almonds Margin - Alter.Ex.Rate'!BN18</f>
        <v>177.81854213055266</v>
      </c>
      <c r="BK18" s="7">
        <f>+'Almonds Margin - Alter.Ex.Rate'!BO18</f>
        <v>200.51778614224733</v>
      </c>
      <c r="BL18" s="7">
        <f>+'Almonds Margin - Alter.Ex.Rate'!BP18</f>
        <v>74.625447083007757</v>
      </c>
      <c r="BM18" s="7">
        <f>+'Almonds Margin - Alter.Ex.Rate'!BQ18</f>
        <v>101.34519458799676</v>
      </c>
    </row>
    <row r="19" spans="1:65" x14ac:dyDescent="0.2">
      <c r="A19" s="8">
        <f t="shared" si="5"/>
        <v>2033</v>
      </c>
      <c r="B19" s="22">
        <f>+'Grapes Margin - Baseline'!B19</f>
        <v>3494.9143520013477</v>
      </c>
      <c r="C19" s="22">
        <f t="shared" si="28"/>
        <v>4287.5872775404268</v>
      </c>
      <c r="E19" s="15">
        <f t="shared" si="29"/>
        <v>13.119182754672131</v>
      </c>
      <c r="F19" s="15">
        <f t="shared" si="29"/>
        <v>13.559423786708107</v>
      </c>
      <c r="H19" s="22">
        <f t="shared" si="0"/>
        <v>45850.420095832204</v>
      </c>
      <c r="I19" s="22">
        <f t="shared" si="0"/>
        <v>58137.212918668716</v>
      </c>
      <c r="K19" s="54">
        <f t="shared" si="30"/>
        <v>176</v>
      </c>
      <c r="L19" s="14">
        <f t="shared" si="6"/>
        <v>2.5700415174976765</v>
      </c>
      <c r="M19" s="7">
        <f t="shared" si="7"/>
        <v>452.32730707959104</v>
      </c>
      <c r="O19" s="15">
        <f t="shared" si="31"/>
        <v>4</v>
      </c>
      <c r="P19" s="7">
        <f t="shared" si="8"/>
        <v>51.872397600870535</v>
      </c>
      <c r="Q19" s="7">
        <f t="shared" si="9"/>
        <v>207.48959040348214</v>
      </c>
      <c r="S19" s="15">
        <f t="shared" si="32"/>
        <v>2</v>
      </c>
      <c r="T19" s="7">
        <f t="shared" si="10"/>
        <v>51.872397600870535</v>
      </c>
      <c r="U19" s="7">
        <f t="shared" si="11"/>
        <v>103.74479520174107</v>
      </c>
      <c r="W19" s="14">
        <f t="shared" si="33"/>
        <v>8</v>
      </c>
      <c r="X19" s="7">
        <f t="shared" si="12"/>
        <v>155.61719280261158</v>
      </c>
      <c r="Y19" s="22">
        <f t="shared" si="13"/>
        <v>1244.9375424208927</v>
      </c>
      <c r="AA19" s="7">
        <f t="shared" si="14"/>
        <v>83.489322675510877</v>
      </c>
      <c r="AB19" s="7">
        <f t="shared" si="1"/>
        <v>1132.0671078224707</v>
      </c>
      <c r="AD19" s="7">
        <f t="shared" si="34"/>
        <v>15.4</v>
      </c>
      <c r="AE19" s="7">
        <f t="shared" si="15"/>
        <v>357.81138289504645</v>
      </c>
      <c r="AF19" s="22">
        <f t="shared" si="16"/>
        <v>5510.2952965837158</v>
      </c>
      <c r="AG19" s="7">
        <f t="shared" si="35"/>
        <v>32</v>
      </c>
      <c r="AH19" s="7">
        <f t="shared" si="17"/>
        <v>89.452845723761612</v>
      </c>
      <c r="AI19" s="22">
        <f t="shared" si="18"/>
        <v>2862.4910631603716</v>
      </c>
      <c r="AJ19" s="22">
        <f t="shared" si="2"/>
        <v>8372.7863597440883</v>
      </c>
      <c r="AL19" s="15">
        <f t="shared" si="36"/>
        <v>0.5</v>
      </c>
      <c r="AM19" s="7">
        <f t="shared" si="19"/>
        <v>141.49038015883414</v>
      </c>
      <c r="AN19" s="7">
        <f t="shared" si="20"/>
        <v>70.745190079417071</v>
      </c>
      <c r="AP19" s="7">
        <f t="shared" si="37"/>
        <v>36</v>
      </c>
      <c r="AQ19" s="7">
        <f t="shared" si="21"/>
        <v>32.83514100298293</v>
      </c>
      <c r="AR19" s="22">
        <f t="shared" si="22"/>
        <v>1182.0650761073855</v>
      </c>
      <c r="AS19" s="7">
        <f t="shared" si="38"/>
        <v>60</v>
      </c>
      <c r="AT19" s="7">
        <f t="shared" si="23"/>
        <v>32.83514100298293</v>
      </c>
      <c r="AU19" s="22">
        <f t="shared" si="24"/>
        <v>1970.1084601789757</v>
      </c>
      <c r="AV19" s="22">
        <f t="shared" si="25"/>
        <v>3152.173536286361</v>
      </c>
      <c r="AX19" s="7">
        <f t="shared" si="39"/>
        <v>231</v>
      </c>
      <c r="AY19" s="7">
        <f t="shared" si="26"/>
        <v>32.83514100298293</v>
      </c>
      <c r="AZ19" s="22">
        <f t="shared" si="40"/>
        <v>7584.9175716890568</v>
      </c>
      <c r="BB19" s="7">
        <f t="shared" si="41"/>
        <v>66.847959268470959</v>
      </c>
      <c r="BD19" s="22">
        <f t="shared" si="3"/>
        <v>22388.03695999557</v>
      </c>
      <c r="BF19" s="22">
        <f t="shared" si="4"/>
        <v>35749.17595867315</v>
      </c>
      <c r="BH19" s="15">
        <f t="shared" si="27"/>
        <v>5.0533333876258695</v>
      </c>
      <c r="BJ19" s="7">
        <f>+'Almonds Margin - Alter.Ex.Rate'!BN19</f>
        <v>183.50873547873033</v>
      </c>
      <c r="BK19" s="7">
        <f>+'Almonds Margin - Alter.Ex.Rate'!BO19</f>
        <v>206.93435529879923</v>
      </c>
      <c r="BL19" s="7">
        <f>+'Almonds Margin - Alter.Ex.Rate'!BP19</f>
        <v>74.625447083007742</v>
      </c>
      <c r="BM19" s="7">
        <f>+'Almonds Margin - Alter.Ex.Rate'!BQ19</f>
        <v>103.42517381167113</v>
      </c>
    </row>
    <row r="20" spans="1:65" x14ac:dyDescent="0.2">
      <c r="A20" s="8">
        <f t="shared" si="5"/>
        <v>2034</v>
      </c>
      <c r="B20" s="22">
        <f>+'Grapes Margin - Baseline'!B20</f>
        <v>3494.9143520013477</v>
      </c>
      <c r="C20" s="22">
        <f t="shared" si="28"/>
        <v>4424.79007042172</v>
      </c>
      <c r="E20" s="15">
        <f t="shared" si="29"/>
        <v>12.98076112808713</v>
      </c>
      <c r="F20" s="15">
        <f t="shared" si="29"/>
        <v>13.416357139096762</v>
      </c>
      <c r="H20" s="22">
        <f t="shared" si="0"/>
        <v>45366.648366452915</v>
      </c>
      <c r="I20" s="22">
        <f t="shared" si="0"/>
        <v>59364.563850306906</v>
      </c>
      <c r="K20" s="54">
        <f t="shared" si="30"/>
        <v>176</v>
      </c>
      <c r="L20" s="14">
        <f t="shared" si="6"/>
        <v>2.621727511954981</v>
      </c>
      <c r="M20" s="7">
        <f t="shared" si="7"/>
        <v>461.42404210407665</v>
      </c>
      <c r="O20" s="15">
        <f t="shared" si="31"/>
        <v>4</v>
      </c>
      <c r="P20" s="7">
        <f t="shared" si="8"/>
        <v>52.915601158724392</v>
      </c>
      <c r="Q20" s="7">
        <f t="shared" si="9"/>
        <v>211.66240463489757</v>
      </c>
      <c r="S20" s="15">
        <f t="shared" si="32"/>
        <v>2</v>
      </c>
      <c r="T20" s="7">
        <f t="shared" si="10"/>
        <v>52.915601158724392</v>
      </c>
      <c r="U20" s="7">
        <f t="shared" si="11"/>
        <v>105.83120231744878</v>
      </c>
      <c r="W20" s="14">
        <f t="shared" si="33"/>
        <v>8</v>
      </c>
      <c r="X20" s="7">
        <f t="shared" si="12"/>
        <v>158.74680347617314</v>
      </c>
      <c r="Y20" s="22">
        <f t="shared" si="13"/>
        <v>1269.9744278093851</v>
      </c>
      <c r="AA20" s="7">
        <f t="shared" si="14"/>
        <v>84.825151838319059</v>
      </c>
      <c r="AB20" s="7">
        <f t="shared" si="1"/>
        <v>1138.0445314409988</v>
      </c>
      <c r="AD20" s="7">
        <f t="shared" si="34"/>
        <v>15.4</v>
      </c>
      <c r="AE20" s="7">
        <f t="shared" si="15"/>
        <v>363.5363650213672</v>
      </c>
      <c r="AF20" s="22">
        <f t="shared" si="16"/>
        <v>5598.4600213290551</v>
      </c>
      <c r="AG20" s="7">
        <f t="shared" si="35"/>
        <v>32</v>
      </c>
      <c r="AH20" s="7">
        <f t="shared" si="17"/>
        <v>90.884091255341801</v>
      </c>
      <c r="AI20" s="22">
        <f t="shared" si="18"/>
        <v>2908.2909201709376</v>
      </c>
      <c r="AJ20" s="22">
        <f t="shared" si="2"/>
        <v>8506.7509414999931</v>
      </c>
      <c r="AL20" s="15">
        <f t="shared" si="36"/>
        <v>0.5</v>
      </c>
      <c r="AM20" s="7">
        <f t="shared" si="19"/>
        <v>146.01807232391684</v>
      </c>
      <c r="AN20" s="7">
        <f t="shared" si="20"/>
        <v>73.00903616195842</v>
      </c>
      <c r="AP20" s="7">
        <f t="shared" si="37"/>
        <v>36</v>
      </c>
      <c r="AQ20" s="7">
        <f t="shared" si="21"/>
        <v>33.885865515078386</v>
      </c>
      <c r="AR20" s="22">
        <f t="shared" si="22"/>
        <v>1219.8911585428218</v>
      </c>
      <c r="AS20" s="7">
        <f t="shared" si="38"/>
        <v>60</v>
      </c>
      <c r="AT20" s="7">
        <f t="shared" si="23"/>
        <v>33.885865515078386</v>
      </c>
      <c r="AU20" s="22">
        <f t="shared" si="24"/>
        <v>2033.1519309047032</v>
      </c>
      <c r="AV20" s="22">
        <f t="shared" si="25"/>
        <v>3253.0430894475248</v>
      </c>
      <c r="AX20" s="7">
        <f t="shared" si="39"/>
        <v>231</v>
      </c>
      <c r="AY20" s="7">
        <f t="shared" si="26"/>
        <v>33.885865515078386</v>
      </c>
      <c r="AZ20" s="22">
        <f t="shared" si="40"/>
        <v>7827.6349339831067</v>
      </c>
      <c r="BB20" s="7">
        <f t="shared" si="41"/>
        <v>66.142640695747033</v>
      </c>
      <c r="BD20" s="22">
        <f t="shared" si="3"/>
        <v>22913.517250095138</v>
      </c>
      <c r="BF20" s="22">
        <f t="shared" si="4"/>
        <v>36451.046600211768</v>
      </c>
      <c r="BH20" s="15">
        <f t="shared" si="27"/>
        <v>5.0149009026995071</v>
      </c>
      <c r="BJ20" s="7">
        <f>+'Almonds Margin - Alter.Ex.Rate'!BN20</f>
        <v>189.38101501404969</v>
      </c>
      <c r="BK20" s="7">
        <f>+'Almonds Margin - Alter.Ex.Rate'!BO20</f>
        <v>213.55625466836082</v>
      </c>
      <c r="BL20" s="7">
        <f>+'Almonds Margin - Alter.Ex.Rate'!BP20</f>
        <v>74.625447083007742</v>
      </c>
      <c r="BM20" s="7">
        <f>+'Almonds Margin - Alter.Ex.Rate'!BQ20</f>
        <v>105.50515303534553</v>
      </c>
    </row>
    <row r="21" spans="1:65" x14ac:dyDescent="0.2">
      <c r="A21" s="8">
        <f t="shared" si="5"/>
        <v>2035</v>
      </c>
      <c r="B21" s="22">
        <f>+'Grapes Margin - Baseline'!B21</f>
        <v>3494.9143520013477</v>
      </c>
      <c r="C21" s="22">
        <f t="shared" si="28"/>
        <v>4566.3833526752151</v>
      </c>
      <c r="E21" s="15">
        <f>+E7*'Grapes Margin - Baseline'!E21/'Grapes Margin - Baseline'!E7</f>
        <v>12.8438</v>
      </c>
      <c r="F21" s="15">
        <f>+F7*E21/E7</f>
        <v>13.274800000000001</v>
      </c>
      <c r="H21" s="22">
        <f t="shared" si="0"/>
        <v>44887.98095423491</v>
      </c>
      <c r="I21" s="22">
        <f t="shared" si="0"/>
        <v>60617.825730092947</v>
      </c>
      <c r="K21" s="54">
        <f t="shared" si="30"/>
        <v>176</v>
      </c>
      <c r="L21" s="14">
        <f t="shared" si="6"/>
        <v>2.673413506412285</v>
      </c>
      <c r="M21" s="7">
        <f t="shared" si="7"/>
        <v>470.52077712856214</v>
      </c>
      <c r="O21" s="15">
        <f t="shared" si="31"/>
        <v>4</v>
      </c>
      <c r="P21" s="7">
        <f t="shared" si="8"/>
        <v>53.958804716578243</v>
      </c>
      <c r="Q21" s="7">
        <f t="shared" si="9"/>
        <v>215.83521886631297</v>
      </c>
      <c r="S21" s="15">
        <f t="shared" si="32"/>
        <v>2</v>
      </c>
      <c r="T21" s="7">
        <f t="shared" si="10"/>
        <v>53.958804716578243</v>
      </c>
      <c r="U21" s="7">
        <f t="shared" si="11"/>
        <v>107.91760943315649</v>
      </c>
      <c r="W21" s="14">
        <f t="shared" si="33"/>
        <v>8</v>
      </c>
      <c r="X21" s="7">
        <f t="shared" si="12"/>
        <v>161.87641414973467</v>
      </c>
      <c r="Y21" s="22">
        <f t="shared" si="13"/>
        <v>1295.0113131978774</v>
      </c>
      <c r="AA21" s="7">
        <f t="shared" si="14"/>
        <v>86.182354267732165</v>
      </c>
      <c r="AB21" s="7">
        <f t="shared" si="1"/>
        <v>1144.053516433291</v>
      </c>
      <c r="AD21" s="7">
        <f t="shared" si="34"/>
        <v>15.4</v>
      </c>
      <c r="AE21" s="7">
        <f t="shared" si="15"/>
        <v>369.35294686170909</v>
      </c>
      <c r="AF21" s="22">
        <f t="shared" si="16"/>
        <v>5688.03538167032</v>
      </c>
      <c r="AG21" s="7">
        <f t="shared" si="35"/>
        <v>32</v>
      </c>
      <c r="AH21" s="7">
        <f t="shared" si="17"/>
        <v>92.338236715427271</v>
      </c>
      <c r="AI21" s="22">
        <f t="shared" si="18"/>
        <v>2954.8235748936727</v>
      </c>
      <c r="AJ21" s="22">
        <f t="shared" si="2"/>
        <v>8642.8589565639923</v>
      </c>
      <c r="AL21" s="15">
        <f t="shared" si="36"/>
        <v>0.5</v>
      </c>
      <c r="AM21" s="7">
        <f t="shared" si="19"/>
        <v>150.69065063828216</v>
      </c>
      <c r="AN21" s="7">
        <f t="shared" si="20"/>
        <v>75.345325319141082</v>
      </c>
      <c r="AP21" s="7">
        <f t="shared" si="37"/>
        <v>36</v>
      </c>
      <c r="AQ21" s="7">
        <f t="shared" si="21"/>
        <v>34.970213211560896</v>
      </c>
      <c r="AR21" s="22">
        <f t="shared" si="22"/>
        <v>1258.9276756161923</v>
      </c>
      <c r="AS21" s="7">
        <f t="shared" si="38"/>
        <v>60</v>
      </c>
      <c r="AT21" s="7">
        <f t="shared" si="23"/>
        <v>34.970213211560896</v>
      </c>
      <c r="AU21" s="22">
        <f t="shared" si="24"/>
        <v>2098.2127926936537</v>
      </c>
      <c r="AV21" s="22">
        <f t="shared" si="25"/>
        <v>3357.1404683098463</v>
      </c>
      <c r="AX21" s="7">
        <f t="shared" si="39"/>
        <v>231</v>
      </c>
      <c r="AY21" s="7">
        <f t="shared" si="26"/>
        <v>34.970213211560896</v>
      </c>
      <c r="AZ21" s="22">
        <f t="shared" si="40"/>
        <v>8078.1192518705666</v>
      </c>
      <c r="BB21" s="7">
        <f t="shared" si="41"/>
        <v>65.444764000000006</v>
      </c>
      <c r="BD21" s="22">
        <f t="shared" si="3"/>
        <v>23452.247201122747</v>
      </c>
      <c r="BF21" s="22">
        <f t="shared" si="4"/>
        <v>37165.578528970203</v>
      </c>
      <c r="BH21" s="15">
        <f t="shared" si="27"/>
        <v>4.9768960779824516</v>
      </c>
      <c r="BJ21" s="7">
        <f>+'Almonds Margin - Alter.Ex.Rate'!BN21</f>
        <v>195.44120749449928</v>
      </c>
      <c r="BK21" s="7">
        <f>+'Almonds Margin - Alter.Ex.Rate'!BO21</f>
        <v>220.39005481774836</v>
      </c>
      <c r="BL21" s="7">
        <f>+'Almonds Margin - Alter.Ex.Rate'!BP21</f>
        <v>74.625447083007742</v>
      </c>
      <c r="BM21" s="7">
        <f>+'Almonds Margin - Alter.Ex.Rate'!BQ21</f>
        <v>107.58513225901991</v>
      </c>
    </row>
    <row r="22" spans="1:65" x14ac:dyDescent="0.2">
      <c r="A22" s="8">
        <f t="shared" si="5"/>
        <v>2036</v>
      </c>
      <c r="B22" s="22">
        <f>+'Grapes Margin - Baseline'!B22</f>
        <v>3494.9143520013477</v>
      </c>
      <c r="C22" s="22">
        <f t="shared" si="28"/>
        <v>4712.507619960822</v>
      </c>
      <c r="E22" s="15">
        <f>E21*((E$41/E$21)^(1/($A$41-$A$21)))</f>
        <v>12.797551601460592</v>
      </c>
      <c r="F22" s="15">
        <f>F21*((F$41/F$21)^(1/($A$41-$A$21)))</f>
        <v>13.226999641778063</v>
      </c>
      <c r="H22" s="22">
        <f t="shared" si="0"/>
        <v>44726.34676242245</v>
      </c>
      <c r="I22" s="22">
        <f t="shared" si="0"/>
        <v>62332.336601098184</v>
      </c>
      <c r="K22" s="54">
        <f t="shared" si="30"/>
        <v>176</v>
      </c>
      <c r="L22" s="14">
        <f t="shared" si="6"/>
        <v>2.6734135064122846</v>
      </c>
      <c r="M22" s="7">
        <f t="shared" si="7"/>
        <v>470.52077712856209</v>
      </c>
      <c r="O22" s="15">
        <f t="shared" si="31"/>
        <v>4</v>
      </c>
      <c r="P22" s="7">
        <f t="shared" si="8"/>
        <v>53.958804716578243</v>
      </c>
      <c r="Q22" s="7">
        <f t="shared" si="9"/>
        <v>215.83521886631297</v>
      </c>
      <c r="S22" s="15">
        <f t="shared" si="32"/>
        <v>2</v>
      </c>
      <c r="T22" s="7">
        <f t="shared" si="10"/>
        <v>53.958804716578243</v>
      </c>
      <c r="U22" s="7">
        <f t="shared" si="11"/>
        <v>107.91760943315649</v>
      </c>
      <c r="W22" s="14">
        <f t="shared" si="33"/>
        <v>8</v>
      </c>
      <c r="X22" s="7">
        <f t="shared" si="12"/>
        <v>161.87641414973467</v>
      </c>
      <c r="Y22" s="22">
        <f t="shared" si="13"/>
        <v>1295.0113131978774</v>
      </c>
      <c r="AA22" s="7">
        <f t="shared" si="14"/>
        <v>87.561271936015885</v>
      </c>
      <c r="AB22" s="7">
        <f t="shared" si="1"/>
        <v>1158.1729125313136</v>
      </c>
      <c r="AD22" s="7">
        <f t="shared" si="34"/>
        <v>15.4</v>
      </c>
      <c r="AE22" s="7">
        <f t="shared" si="15"/>
        <v>375.26259401149645</v>
      </c>
      <c r="AF22" s="22">
        <f t="shared" si="16"/>
        <v>5779.0439477770451</v>
      </c>
      <c r="AG22" s="7">
        <f t="shared" si="35"/>
        <v>32</v>
      </c>
      <c r="AH22" s="7">
        <f t="shared" si="17"/>
        <v>93.815648502874112</v>
      </c>
      <c r="AI22" s="22">
        <f t="shared" si="18"/>
        <v>3002.1007520919716</v>
      </c>
      <c r="AJ22" s="22">
        <f t="shared" si="2"/>
        <v>8781.1446998690171</v>
      </c>
      <c r="AL22" s="15">
        <f t="shared" si="36"/>
        <v>0.5</v>
      </c>
      <c r="AM22" s="7">
        <f t="shared" si="19"/>
        <v>155.51275145870719</v>
      </c>
      <c r="AN22" s="7">
        <f t="shared" si="20"/>
        <v>77.756375729353593</v>
      </c>
      <c r="AP22" s="7">
        <f t="shared" si="37"/>
        <v>36</v>
      </c>
      <c r="AQ22" s="7">
        <f t="shared" si="21"/>
        <v>36.089260034330849</v>
      </c>
      <c r="AR22" s="22">
        <f t="shared" si="22"/>
        <v>1299.2133612359105</v>
      </c>
      <c r="AS22" s="7">
        <f t="shared" si="38"/>
        <v>60</v>
      </c>
      <c r="AT22" s="7">
        <f t="shared" si="23"/>
        <v>36.089260034330849</v>
      </c>
      <c r="AU22" s="22">
        <f t="shared" si="24"/>
        <v>2165.3556020598508</v>
      </c>
      <c r="AV22" s="22">
        <f t="shared" si="25"/>
        <v>3464.568963295761</v>
      </c>
      <c r="AX22" s="7">
        <f t="shared" si="39"/>
        <v>231</v>
      </c>
      <c r="AY22" s="7">
        <f t="shared" si="26"/>
        <v>36.089260034330849</v>
      </c>
      <c r="AZ22" s="22">
        <f t="shared" si="40"/>
        <v>8336.6190679304254</v>
      </c>
      <c r="BB22" s="7">
        <f t="shared" si="41"/>
        <v>65.20910823396585</v>
      </c>
      <c r="BD22" s="22">
        <f t="shared" si="3"/>
        <v>23972.756046215745</v>
      </c>
      <c r="BF22" s="22">
        <f t="shared" si="4"/>
        <v>38359.580554882443</v>
      </c>
      <c r="BH22" s="15">
        <f t="shared" si="27"/>
        <v>4.9305675249538377</v>
      </c>
      <c r="BJ22" s="7">
        <f>+'Almonds Margin - Alter.Ex.Rate'!BN22</f>
        <v>201.69532613432327</v>
      </c>
      <c r="BK22" s="7">
        <f>+'Almonds Margin - Alter.Ex.Rate'!BO22</f>
        <v>227.44253657191632</v>
      </c>
      <c r="BL22" s="7">
        <f>+'Almonds Margin - Alter.Ex.Rate'!BP22</f>
        <v>74.625447083007742</v>
      </c>
      <c r="BM22" s="7">
        <f>+'Almonds Margin - Alter.Ex.Rate'!BQ22</f>
        <v>107.58513225901991</v>
      </c>
    </row>
    <row r="23" spans="1:65" x14ac:dyDescent="0.2">
      <c r="A23" s="8">
        <f t="shared" si="5"/>
        <v>2037</v>
      </c>
      <c r="B23" s="22">
        <f>+'Grapes Margin - Baseline'!B23</f>
        <v>3494.9143520013477</v>
      </c>
      <c r="C23" s="22">
        <f t="shared" si="28"/>
        <v>4863.3078637995686</v>
      </c>
      <c r="E23" s="15">
        <f t="shared" ref="E23:F38" si="42">E22*((E$41/E$21)^(1/($A$41-$A$21)))</f>
        <v>12.751469735751613</v>
      </c>
      <c r="F23" s="15">
        <f t="shared" si="42"/>
        <v>13.179371404736568</v>
      </c>
      <c r="H23" s="22">
        <f t="shared" si="0"/>
        <v>44565.294588589146</v>
      </c>
      <c r="I23" s="22">
        <f t="shared" si="0"/>
        <v>64095.340592590517</v>
      </c>
      <c r="K23" s="54">
        <f t="shared" si="30"/>
        <v>176</v>
      </c>
      <c r="L23" s="14">
        <f t="shared" si="6"/>
        <v>2.6734135064122846</v>
      </c>
      <c r="M23" s="7">
        <f t="shared" si="7"/>
        <v>470.52077712856209</v>
      </c>
      <c r="O23" s="15">
        <f t="shared" si="31"/>
        <v>4</v>
      </c>
      <c r="P23" s="7">
        <f t="shared" si="8"/>
        <v>53.958804716578243</v>
      </c>
      <c r="Q23" s="7">
        <f t="shared" si="9"/>
        <v>215.83521886631297</v>
      </c>
      <c r="S23" s="15">
        <f t="shared" si="32"/>
        <v>2</v>
      </c>
      <c r="T23" s="7">
        <f t="shared" si="10"/>
        <v>53.958804716578243</v>
      </c>
      <c r="U23" s="7">
        <f t="shared" si="11"/>
        <v>107.91760943315649</v>
      </c>
      <c r="W23" s="14">
        <f t="shared" si="33"/>
        <v>8</v>
      </c>
      <c r="X23" s="7">
        <f t="shared" si="12"/>
        <v>161.8764141497347</v>
      </c>
      <c r="Y23" s="22">
        <f t="shared" si="13"/>
        <v>1295.0113131978776</v>
      </c>
      <c r="AA23" s="7">
        <f t="shared" si="14"/>
        <v>88.96225228699214</v>
      </c>
      <c r="AB23" s="7">
        <f t="shared" si="1"/>
        <v>1172.4665638921444</v>
      </c>
      <c r="AD23" s="7">
        <f t="shared" si="34"/>
        <v>15.4</v>
      </c>
      <c r="AE23" s="7">
        <f t="shared" si="15"/>
        <v>381.26679551568037</v>
      </c>
      <c r="AF23" s="22">
        <f t="shared" si="16"/>
        <v>5871.5086509414778</v>
      </c>
      <c r="AG23" s="7">
        <f t="shared" si="35"/>
        <v>32</v>
      </c>
      <c r="AH23" s="7">
        <f t="shared" si="17"/>
        <v>95.316698878920093</v>
      </c>
      <c r="AI23" s="22">
        <f t="shared" si="18"/>
        <v>3050.134364125443</v>
      </c>
      <c r="AJ23" s="22">
        <f t="shared" si="2"/>
        <v>8921.6430150669203</v>
      </c>
      <c r="AL23" s="15">
        <f t="shared" si="36"/>
        <v>0.5</v>
      </c>
      <c r="AM23" s="7">
        <f t="shared" si="19"/>
        <v>160.4891595053858</v>
      </c>
      <c r="AN23" s="7">
        <f t="shared" si="20"/>
        <v>80.2445797526929</v>
      </c>
      <c r="AP23" s="7">
        <f t="shared" si="37"/>
        <v>36</v>
      </c>
      <c r="AQ23" s="7">
        <f t="shared" si="21"/>
        <v>37.244116355429433</v>
      </c>
      <c r="AR23" s="22">
        <f t="shared" si="22"/>
        <v>1340.7881887954595</v>
      </c>
      <c r="AS23" s="7">
        <f t="shared" si="38"/>
        <v>60</v>
      </c>
      <c r="AT23" s="7">
        <f t="shared" si="23"/>
        <v>37.244116355429433</v>
      </c>
      <c r="AU23" s="22">
        <f t="shared" si="24"/>
        <v>2234.6469813257659</v>
      </c>
      <c r="AV23" s="22">
        <f t="shared" si="25"/>
        <v>3575.4351701212254</v>
      </c>
      <c r="AX23" s="7">
        <f t="shared" si="39"/>
        <v>231</v>
      </c>
      <c r="AY23" s="7">
        <f t="shared" si="26"/>
        <v>37.244116355429433</v>
      </c>
      <c r="AZ23" s="22">
        <f t="shared" si="40"/>
        <v>8603.3908781041991</v>
      </c>
      <c r="BB23" s="7">
        <f t="shared" si="41"/>
        <v>64.974301025351281</v>
      </c>
      <c r="BD23" s="22">
        <f t="shared" si="3"/>
        <v>24507.43942658844</v>
      </c>
      <c r="BF23" s="22">
        <f t="shared" si="4"/>
        <v>39587.901166002077</v>
      </c>
      <c r="BH23" s="15">
        <f t="shared" si="27"/>
        <v>4.885221535348907</v>
      </c>
      <c r="BJ23" s="7">
        <f>+'Almonds Margin - Alter.Ex.Rate'!BN23</f>
        <v>208.1495765706216</v>
      </c>
      <c r="BK23" s="7">
        <f>+'Almonds Margin - Alter.Ex.Rate'!BO23</f>
        <v>234.72069774221765</v>
      </c>
      <c r="BL23" s="7">
        <f>+'Almonds Margin - Alter.Ex.Rate'!BP23</f>
        <v>74.625447083007742</v>
      </c>
      <c r="BM23" s="7">
        <f>+'Almonds Margin - Alter.Ex.Rate'!BQ23</f>
        <v>107.58513225901993</v>
      </c>
    </row>
    <row r="24" spans="1:65" x14ac:dyDescent="0.2">
      <c r="A24" s="8">
        <f t="shared" si="5"/>
        <v>2038</v>
      </c>
      <c r="B24" s="22">
        <f>+'Grapes Margin - Baseline'!B24</f>
        <v>3494.9143520013477</v>
      </c>
      <c r="C24" s="22">
        <f t="shared" si="28"/>
        <v>5018.9337154411542</v>
      </c>
      <c r="E24" s="15">
        <f t="shared" si="42"/>
        <v>12.705553803215896</v>
      </c>
      <c r="F24" s="15">
        <f t="shared" si="42"/>
        <v>13.131914669095625</v>
      </c>
      <c r="H24" s="22">
        <f t="shared" si="0"/>
        <v>44404.822336984544</v>
      </c>
      <c r="I24" s="22">
        <f t="shared" si="0"/>
        <v>65908.209281020303</v>
      </c>
      <c r="K24" s="54">
        <f t="shared" si="30"/>
        <v>176</v>
      </c>
      <c r="L24" s="14">
        <f t="shared" si="6"/>
        <v>2.6734135064122846</v>
      </c>
      <c r="M24" s="7">
        <f t="shared" si="7"/>
        <v>470.52077712856209</v>
      </c>
      <c r="O24" s="15">
        <f t="shared" si="31"/>
        <v>4</v>
      </c>
      <c r="P24" s="7">
        <f t="shared" si="8"/>
        <v>53.958804716578236</v>
      </c>
      <c r="Q24" s="7">
        <f t="shared" si="9"/>
        <v>215.83521886631294</v>
      </c>
      <c r="S24" s="15">
        <f t="shared" si="32"/>
        <v>2</v>
      </c>
      <c r="T24" s="7">
        <f t="shared" si="10"/>
        <v>53.958804716578236</v>
      </c>
      <c r="U24" s="7">
        <f t="shared" si="11"/>
        <v>107.91760943315647</v>
      </c>
      <c r="W24" s="14">
        <f t="shared" si="33"/>
        <v>8</v>
      </c>
      <c r="X24" s="7">
        <f t="shared" si="12"/>
        <v>161.87641414973473</v>
      </c>
      <c r="Y24" s="22">
        <f t="shared" si="13"/>
        <v>1295.0113131978778</v>
      </c>
      <c r="AA24" s="7">
        <f t="shared" si="14"/>
        <v>90.385648323584022</v>
      </c>
      <c r="AB24" s="7">
        <f t="shared" si="1"/>
        <v>1186.9366210961914</v>
      </c>
      <c r="AD24" s="7">
        <f t="shared" si="34"/>
        <v>15.4</v>
      </c>
      <c r="AE24" s="7">
        <f t="shared" si="15"/>
        <v>387.36706424393128</v>
      </c>
      <c r="AF24" s="22">
        <f t="shared" si="16"/>
        <v>5965.4527893565419</v>
      </c>
      <c r="AG24" s="7">
        <f t="shared" si="35"/>
        <v>32</v>
      </c>
      <c r="AH24" s="7">
        <f t="shared" si="17"/>
        <v>96.84176606098282</v>
      </c>
      <c r="AI24" s="22">
        <f t="shared" si="18"/>
        <v>3098.9365139514503</v>
      </c>
      <c r="AJ24" s="22">
        <f t="shared" si="2"/>
        <v>9064.3893033079912</v>
      </c>
      <c r="AL24" s="15">
        <f t="shared" si="36"/>
        <v>0.5</v>
      </c>
      <c r="AM24" s="7">
        <f t="shared" si="19"/>
        <v>165.62481260955815</v>
      </c>
      <c r="AN24" s="7">
        <f t="shared" si="20"/>
        <v>82.812406304779074</v>
      </c>
      <c r="AP24" s="7">
        <f t="shared" si="37"/>
        <v>36</v>
      </c>
      <c r="AQ24" s="7">
        <f t="shared" si="21"/>
        <v>38.435928078803173</v>
      </c>
      <c r="AR24" s="22">
        <f t="shared" si="22"/>
        <v>1383.6934108369142</v>
      </c>
      <c r="AS24" s="7">
        <f t="shared" si="38"/>
        <v>60</v>
      </c>
      <c r="AT24" s="7">
        <f t="shared" si="23"/>
        <v>38.435928078803173</v>
      </c>
      <c r="AU24" s="22">
        <f t="shared" si="24"/>
        <v>2306.1556847281904</v>
      </c>
      <c r="AV24" s="22">
        <f t="shared" si="25"/>
        <v>3689.8490955651046</v>
      </c>
      <c r="AX24" s="7">
        <f t="shared" si="39"/>
        <v>231</v>
      </c>
      <c r="AY24" s="7">
        <f t="shared" si="26"/>
        <v>38.435928078803173</v>
      </c>
      <c r="AZ24" s="22">
        <f t="shared" si="40"/>
        <v>8878.6993862035324</v>
      </c>
      <c r="BB24" s="7">
        <f t="shared" si="41"/>
        <v>64.740339318641432</v>
      </c>
      <c r="BD24" s="22">
        <f t="shared" si="3"/>
        <v>25056.712070422152</v>
      </c>
      <c r="BF24" s="22">
        <f t="shared" si="4"/>
        <v>40851.497210598151</v>
      </c>
      <c r="BH24" s="15">
        <f t="shared" si="27"/>
        <v>4.8408342501389479</v>
      </c>
      <c r="BJ24" s="7">
        <f>+'Almonds Margin - Alter.Ex.Rate'!BN24</f>
        <v>214.81036302088148</v>
      </c>
      <c r="BK24" s="7">
        <f>+'Almonds Margin - Alter.Ex.Rate'!BO24</f>
        <v>242.23176006996863</v>
      </c>
      <c r="BL24" s="7">
        <f>+'Almonds Margin - Alter.Ex.Rate'!BP24</f>
        <v>74.625447083007742</v>
      </c>
      <c r="BM24" s="7">
        <f>+'Almonds Margin - Alter.Ex.Rate'!BQ24</f>
        <v>107.58513225901993</v>
      </c>
    </row>
    <row r="25" spans="1:65" x14ac:dyDescent="0.2">
      <c r="A25" s="8">
        <f t="shared" si="5"/>
        <v>2039</v>
      </c>
      <c r="B25" s="22">
        <f>+'Grapes Margin - Baseline'!B25</f>
        <v>3494.9143520013477</v>
      </c>
      <c r="C25" s="22">
        <f t="shared" si="28"/>
        <v>5179.5395943352714</v>
      </c>
      <c r="E25" s="15">
        <f t="shared" si="42"/>
        <v>12.659803206355541</v>
      </c>
      <c r="F25" s="15">
        <f t="shared" si="42"/>
        <v>13.084628817307072</v>
      </c>
      <c r="H25" s="22">
        <f t="shared" si="0"/>
        <v>44244.927919404661</v>
      </c>
      <c r="I25" s="22">
        <f t="shared" si="0"/>
        <v>67772.353036422268</v>
      </c>
      <c r="K25" s="54">
        <f t="shared" si="30"/>
        <v>176</v>
      </c>
      <c r="L25" s="14">
        <f t="shared" si="6"/>
        <v>2.6734135064122846</v>
      </c>
      <c r="M25" s="7">
        <f t="shared" si="7"/>
        <v>470.52077712856209</v>
      </c>
      <c r="O25" s="15">
        <f t="shared" si="31"/>
        <v>4</v>
      </c>
      <c r="P25" s="7">
        <f t="shared" si="8"/>
        <v>53.958804716578236</v>
      </c>
      <c r="Q25" s="7">
        <f t="shared" si="9"/>
        <v>215.83521886631294</v>
      </c>
      <c r="S25" s="15">
        <f t="shared" si="32"/>
        <v>2</v>
      </c>
      <c r="T25" s="7">
        <f t="shared" si="10"/>
        <v>53.958804716578236</v>
      </c>
      <c r="U25" s="7">
        <f t="shared" si="11"/>
        <v>107.91760943315647</v>
      </c>
      <c r="W25" s="14">
        <f t="shared" si="33"/>
        <v>8</v>
      </c>
      <c r="X25" s="7">
        <f t="shared" si="12"/>
        <v>161.87641414973473</v>
      </c>
      <c r="Y25" s="22">
        <f t="shared" si="13"/>
        <v>1295.0113131978778</v>
      </c>
      <c r="AA25" s="7">
        <f t="shared" si="14"/>
        <v>91.831818696761374</v>
      </c>
      <c r="AB25" s="7">
        <f t="shared" si="1"/>
        <v>1201.5852612653623</v>
      </c>
      <c r="AD25" s="7">
        <f t="shared" si="34"/>
        <v>15.4</v>
      </c>
      <c r="AE25" s="7">
        <f t="shared" si="15"/>
        <v>393.5649372718342</v>
      </c>
      <c r="AF25" s="22">
        <f t="shared" si="16"/>
        <v>6060.9000339862469</v>
      </c>
      <c r="AG25" s="7">
        <f t="shared" si="35"/>
        <v>32</v>
      </c>
      <c r="AH25" s="7">
        <f t="shared" si="17"/>
        <v>98.391234317958549</v>
      </c>
      <c r="AI25" s="22">
        <f t="shared" si="18"/>
        <v>3148.5194981746736</v>
      </c>
      <c r="AJ25" s="22">
        <f t="shared" si="2"/>
        <v>9209.4195321609204</v>
      </c>
      <c r="AL25" s="15">
        <f t="shared" si="36"/>
        <v>0.5</v>
      </c>
      <c r="AM25" s="7">
        <f t="shared" si="19"/>
        <v>170.92480661306402</v>
      </c>
      <c r="AN25" s="7">
        <f t="shared" si="20"/>
        <v>85.462403306532011</v>
      </c>
      <c r="AP25" s="7">
        <f t="shared" si="37"/>
        <v>36</v>
      </c>
      <c r="AQ25" s="7">
        <f t="shared" si="21"/>
        <v>39.665877777324873</v>
      </c>
      <c r="AR25" s="22">
        <f t="shared" si="22"/>
        <v>1427.9715999836953</v>
      </c>
      <c r="AS25" s="7">
        <f t="shared" si="38"/>
        <v>60</v>
      </c>
      <c r="AT25" s="7">
        <f t="shared" si="23"/>
        <v>39.665877777324873</v>
      </c>
      <c r="AU25" s="22">
        <f t="shared" si="24"/>
        <v>2379.9526666394922</v>
      </c>
      <c r="AV25" s="22">
        <f t="shared" si="25"/>
        <v>3807.9242666231876</v>
      </c>
      <c r="AX25" s="7">
        <f t="shared" si="39"/>
        <v>231</v>
      </c>
      <c r="AY25" s="7">
        <f t="shared" si="26"/>
        <v>39.665877777324873</v>
      </c>
      <c r="AZ25" s="22">
        <f t="shared" si="40"/>
        <v>9162.817766562046</v>
      </c>
      <c r="BB25" s="7">
        <f t="shared" si="41"/>
        <v>64.507220069323864</v>
      </c>
      <c r="BD25" s="22">
        <f t="shared" si="3"/>
        <v>25621.001368613281</v>
      </c>
      <c r="BF25" s="22">
        <f t="shared" si="4"/>
        <v>42151.351667808987</v>
      </c>
      <c r="BH25" s="15">
        <f t="shared" si="27"/>
        <v>4.7973824698262089</v>
      </c>
      <c r="BJ25" s="7">
        <f>+'Almonds Margin - Alter.Ex.Rate'!BN25</f>
        <v>221.6842946375497</v>
      </c>
      <c r="BK25" s="7">
        <f>+'Almonds Margin - Alter.Ex.Rate'!BO25</f>
        <v>249.98317639220764</v>
      </c>
      <c r="BL25" s="7">
        <f>+'Almonds Margin - Alter.Ex.Rate'!BP25</f>
        <v>74.625447083007742</v>
      </c>
      <c r="BM25" s="7">
        <f>+'Almonds Margin - Alter.Ex.Rate'!BQ25</f>
        <v>107.58513225901993</v>
      </c>
    </row>
    <row r="26" spans="1:65" x14ac:dyDescent="0.2">
      <c r="A26" s="8">
        <f t="shared" si="5"/>
        <v>2040</v>
      </c>
      <c r="B26" s="22">
        <f>+'Grapes Margin - Baseline'!B26</f>
        <v>3494.9143520013477</v>
      </c>
      <c r="C26" s="22">
        <f t="shared" si="28"/>
        <v>5345.284861354</v>
      </c>
      <c r="E26" s="15">
        <f t="shared" si="42"/>
        <v>12.614217349824141</v>
      </c>
      <c r="F26" s="15">
        <f t="shared" si="42"/>
        <v>13.037513234046431</v>
      </c>
      <c r="H26" s="22">
        <f t="shared" si="0"/>
        <v>44085.609255164796</v>
      </c>
      <c r="I26" s="22">
        <f t="shared" si="0"/>
        <v>69689.222119650818</v>
      </c>
      <c r="K26" s="54">
        <f t="shared" si="30"/>
        <v>176</v>
      </c>
      <c r="L26" s="14">
        <f t="shared" si="6"/>
        <v>2.6734135064122846</v>
      </c>
      <c r="M26" s="7">
        <f t="shared" si="7"/>
        <v>470.52077712856209</v>
      </c>
      <c r="O26" s="15">
        <f t="shared" si="31"/>
        <v>4</v>
      </c>
      <c r="P26" s="7">
        <f t="shared" si="8"/>
        <v>53.958804716578229</v>
      </c>
      <c r="Q26" s="7">
        <f t="shared" si="9"/>
        <v>215.83521886631291</v>
      </c>
      <c r="S26" s="15">
        <f t="shared" si="32"/>
        <v>2</v>
      </c>
      <c r="T26" s="7">
        <f t="shared" si="10"/>
        <v>53.958804716578229</v>
      </c>
      <c r="U26" s="7">
        <f t="shared" si="11"/>
        <v>107.91760943315646</v>
      </c>
      <c r="W26" s="14">
        <f t="shared" si="33"/>
        <v>8</v>
      </c>
      <c r="X26" s="7">
        <f t="shared" si="12"/>
        <v>161.87641414973473</v>
      </c>
      <c r="Y26" s="22">
        <f t="shared" si="13"/>
        <v>1295.0113131978778</v>
      </c>
      <c r="AA26" s="7">
        <f t="shared" si="14"/>
        <v>93.301127795909551</v>
      </c>
      <c r="AB26" s="7">
        <f t="shared" si="1"/>
        <v>1216.414688390628</v>
      </c>
      <c r="AD26" s="7">
        <f t="shared" si="34"/>
        <v>15.4</v>
      </c>
      <c r="AE26" s="7">
        <f t="shared" si="15"/>
        <v>399.86197626818353</v>
      </c>
      <c r="AF26" s="22">
        <f t="shared" si="16"/>
        <v>6157.8744345300265</v>
      </c>
      <c r="AG26" s="7">
        <f t="shared" si="35"/>
        <v>32</v>
      </c>
      <c r="AH26" s="7">
        <f t="shared" si="17"/>
        <v>99.965494067045881</v>
      </c>
      <c r="AI26" s="22">
        <f t="shared" si="18"/>
        <v>3198.8958101454682</v>
      </c>
      <c r="AJ26" s="22">
        <f t="shared" si="2"/>
        <v>9356.7702446754956</v>
      </c>
      <c r="AL26" s="15">
        <f t="shared" si="36"/>
        <v>0.5</v>
      </c>
      <c r="AM26" s="7">
        <f t="shared" si="19"/>
        <v>176.39440042468206</v>
      </c>
      <c r="AN26" s="7">
        <f t="shared" si="20"/>
        <v>88.197200212341031</v>
      </c>
      <c r="AP26" s="7">
        <f t="shared" si="37"/>
        <v>36</v>
      </c>
      <c r="AQ26" s="7">
        <f t="shared" si="21"/>
        <v>40.935185866199269</v>
      </c>
      <c r="AR26" s="22">
        <f t="shared" si="22"/>
        <v>1473.6666911831737</v>
      </c>
      <c r="AS26" s="7">
        <f t="shared" si="38"/>
        <v>60</v>
      </c>
      <c r="AT26" s="7">
        <f t="shared" si="23"/>
        <v>40.935185866199269</v>
      </c>
      <c r="AU26" s="22">
        <f t="shared" si="24"/>
        <v>2456.1111519719561</v>
      </c>
      <c r="AV26" s="22">
        <f t="shared" si="25"/>
        <v>3929.7778431551296</v>
      </c>
      <c r="AX26" s="7">
        <f t="shared" si="39"/>
        <v>231</v>
      </c>
      <c r="AY26" s="7">
        <f t="shared" si="26"/>
        <v>40.935185866199269</v>
      </c>
      <c r="AZ26" s="22">
        <f t="shared" si="40"/>
        <v>9456.0279350920318</v>
      </c>
      <c r="BB26" s="7">
        <f t="shared" si="41"/>
        <v>64.274940243848903</v>
      </c>
      <c r="BD26" s="22">
        <f t="shared" si="3"/>
        <v>26200.747770395385</v>
      </c>
      <c r="BF26" s="22">
        <f t="shared" si="4"/>
        <v>43488.474349255433</v>
      </c>
      <c r="BH26" s="15">
        <f t="shared" si="27"/>
        <v>4.7548436340676723</v>
      </c>
      <c r="BJ26" s="7">
        <f>+'Almonds Margin - Alter.Ex.Rate'!BN26</f>
        <v>228.77819206595129</v>
      </c>
      <c r="BK26" s="7">
        <f>+'Almonds Margin - Alter.Ex.Rate'!BO26</f>
        <v>257.98263803675826</v>
      </c>
      <c r="BL26" s="7">
        <f>+'Almonds Margin - Alter.Ex.Rate'!BP26</f>
        <v>74.625447083007742</v>
      </c>
      <c r="BM26" s="7">
        <f>+'Almonds Margin - Alter.Ex.Rate'!BQ26</f>
        <v>107.58513225901991</v>
      </c>
    </row>
    <row r="27" spans="1:65" x14ac:dyDescent="0.2">
      <c r="A27" s="8">
        <f t="shared" si="5"/>
        <v>2041</v>
      </c>
      <c r="B27" s="22">
        <f>+'Grapes Margin - Baseline'!B27</f>
        <v>3494.9143520013477</v>
      </c>
      <c r="C27" s="22">
        <f t="shared" si="28"/>
        <v>5516.3339769173281</v>
      </c>
      <c r="E27" s="15">
        <f t="shared" si="42"/>
        <v>12.56879564041903</v>
      </c>
      <c r="F27" s="15">
        <f t="shared" si="42"/>
        <v>12.990567306204905</v>
      </c>
      <c r="H27" s="22">
        <f t="shared" si="0"/>
        <v>43926.864271072438</v>
      </c>
      <c r="I27" s="22">
        <f t="shared" si="0"/>
        <v>71660.307810649523</v>
      </c>
      <c r="K27" s="54">
        <f t="shared" si="30"/>
        <v>176</v>
      </c>
      <c r="L27" s="14">
        <f t="shared" si="6"/>
        <v>2.6734135064122846</v>
      </c>
      <c r="M27" s="7">
        <f t="shared" si="7"/>
        <v>470.52077712856209</v>
      </c>
      <c r="O27" s="15">
        <f t="shared" si="31"/>
        <v>4</v>
      </c>
      <c r="P27" s="7">
        <f t="shared" si="8"/>
        <v>53.958804716578236</v>
      </c>
      <c r="Q27" s="7">
        <f t="shared" si="9"/>
        <v>215.83521886631294</v>
      </c>
      <c r="S27" s="15">
        <f t="shared" si="32"/>
        <v>2</v>
      </c>
      <c r="T27" s="7">
        <f t="shared" si="10"/>
        <v>53.958804716578236</v>
      </c>
      <c r="U27" s="7">
        <f t="shared" si="11"/>
        <v>107.91760943315647</v>
      </c>
      <c r="W27" s="14">
        <f t="shared" si="33"/>
        <v>8</v>
      </c>
      <c r="X27" s="7">
        <f t="shared" si="12"/>
        <v>161.87641414973473</v>
      </c>
      <c r="Y27" s="22">
        <f t="shared" si="13"/>
        <v>1295.0113131978778</v>
      </c>
      <c r="AA27" s="7">
        <f t="shared" si="14"/>
        <v>94.793945840644099</v>
      </c>
      <c r="AB27" s="7">
        <f t="shared" si="1"/>
        <v>1231.4271336636298</v>
      </c>
      <c r="AD27" s="7">
        <f t="shared" si="34"/>
        <v>15.4</v>
      </c>
      <c r="AE27" s="7">
        <f t="shared" si="15"/>
        <v>406.25976788847447</v>
      </c>
      <c r="AF27" s="22">
        <f t="shared" si="16"/>
        <v>6256.4004254825068</v>
      </c>
      <c r="AG27" s="7">
        <f t="shared" si="35"/>
        <v>32</v>
      </c>
      <c r="AH27" s="7">
        <f t="shared" si="17"/>
        <v>101.56494197211862</v>
      </c>
      <c r="AI27" s="22">
        <f t="shared" si="18"/>
        <v>3250.0781431077958</v>
      </c>
      <c r="AJ27" s="22">
        <f t="shared" si="2"/>
        <v>9506.4785685903025</v>
      </c>
      <c r="AL27" s="15">
        <f t="shared" si="36"/>
        <v>0.5</v>
      </c>
      <c r="AM27" s="7">
        <f t="shared" si="19"/>
        <v>182.03902123827189</v>
      </c>
      <c r="AN27" s="7">
        <f t="shared" si="20"/>
        <v>91.019510619135943</v>
      </c>
      <c r="AP27" s="7">
        <f t="shared" si="37"/>
        <v>36</v>
      </c>
      <c r="AQ27" s="7">
        <f t="shared" si="21"/>
        <v>42.245111813917646</v>
      </c>
      <c r="AR27" s="22">
        <f t="shared" si="22"/>
        <v>1520.8240253010354</v>
      </c>
      <c r="AS27" s="7">
        <f t="shared" si="38"/>
        <v>60</v>
      </c>
      <c r="AT27" s="7">
        <f t="shared" si="23"/>
        <v>42.245111813917646</v>
      </c>
      <c r="AU27" s="22">
        <f t="shared" si="24"/>
        <v>2534.7067088350586</v>
      </c>
      <c r="AV27" s="22">
        <f t="shared" si="25"/>
        <v>4055.530734136094</v>
      </c>
      <c r="AX27" s="7">
        <f t="shared" si="39"/>
        <v>231</v>
      </c>
      <c r="AY27" s="7">
        <f t="shared" si="26"/>
        <v>42.245111813917646</v>
      </c>
      <c r="AZ27" s="22">
        <f t="shared" si="40"/>
        <v>9758.6208290149771</v>
      </c>
      <c r="BB27" s="7">
        <f t="shared" si="41"/>
        <v>64.043496819590175</v>
      </c>
      <c r="BD27" s="22">
        <f t="shared" si="3"/>
        <v>26796.405191469639</v>
      </c>
      <c r="BF27" s="22">
        <f t="shared" si="4"/>
        <v>44863.902619179884</v>
      </c>
      <c r="BH27" s="15">
        <f t="shared" si="27"/>
        <v>4.713195801993133</v>
      </c>
      <c r="BJ27" s="7">
        <f>+'Almonds Margin - Alter.Ex.Rate'!BN27</f>
        <v>236.09909421206174</v>
      </c>
      <c r="BK27" s="7">
        <f>+'Almonds Margin - Alter.Ex.Rate'!BO27</f>
        <v>266.23808245393451</v>
      </c>
      <c r="BL27" s="7">
        <f>+'Almonds Margin - Alter.Ex.Rate'!BP27</f>
        <v>74.625447083007742</v>
      </c>
      <c r="BM27" s="7">
        <f>+'Almonds Margin - Alter.Ex.Rate'!BQ27</f>
        <v>107.58513225901993</v>
      </c>
    </row>
    <row r="28" spans="1:65" x14ac:dyDescent="0.2">
      <c r="A28" s="8">
        <f t="shared" si="5"/>
        <v>2042</v>
      </c>
      <c r="B28" s="22">
        <f>+'Grapes Margin - Baseline'!B28</f>
        <v>3494.9143520013477</v>
      </c>
      <c r="C28" s="22">
        <f t="shared" si="28"/>
        <v>5692.8566641786829</v>
      </c>
      <c r="E28" s="15">
        <f t="shared" si="42"/>
        <v>12.523537487073567</v>
      </c>
      <c r="F28" s="15">
        <f t="shared" si="42"/>
        <v>12.943790422881406</v>
      </c>
      <c r="H28" s="22">
        <f t="shared" si="0"/>
        <v>43768.690901400296</v>
      </c>
      <c r="I28" s="22">
        <f t="shared" si="0"/>
        <v>73687.143568632629</v>
      </c>
      <c r="K28" s="54">
        <f t="shared" si="30"/>
        <v>176</v>
      </c>
      <c r="L28" s="14">
        <f t="shared" si="6"/>
        <v>2.6734135064122846</v>
      </c>
      <c r="M28" s="7">
        <f t="shared" si="7"/>
        <v>470.52077712856209</v>
      </c>
      <c r="O28" s="15">
        <f t="shared" si="31"/>
        <v>4</v>
      </c>
      <c r="P28" s="7">
        <f t="shared" si="8"/>
        <v>53.958804716578236</v>
      </c>
      <c r="Q28" s="7">
        <f t="shared" si="9"/>
        <v>215.83521886631294</v>
      </c>
      <c r="S28" s="15">
        <f t="shared" si="32"/>
        <v>2</v>
      </c>
      <c r="T28" s="7">
        <f t="shared" si="10"/>
        <v>53.958804716578236</v>
      </c>
      <c r="U28" s="7">
        <f t="shared" si="11"/>
        <v>107.91760943315647</v>
      </c>
      <c r="W28" s="14">
        <f t="shared" si="33"/>
        <v>8</v>
      </c>
      <c r="X28" s="7">
        <f t="shared" si="12"/>
        <v>161.87641414973473</v>
      </c>
      <c r="Y28" s="22">
        <f t="shared" si="13"/>
        <v>1295.0113131978778</v>
      </c>
      <c r="AA28" s="7">
        <f t="shared" si="14"/>
        <v>96.310648974094406</v>
      </c>
      <c r="AB28" s="7">
        <f t="shared" si="1"/>
        <v>1246.6248558123762</v>
      </c>
      <c r="AD28" s="7">
        <f t="shared" si="34"/>
        <v>15.4</v>
      </c>
      <c r="AE28" s="7">
        <f t="shared" si="15"/>
        <v>412.75992417469007</v>
      </c>
      <c r="AF28" s="22">
        <f t="shared" si="16"/>
        <v>6356.5028322902272</v>
      </c>
      <c r="AG28" s="7">
        <f t="shared" si="35"/>
        <v>32</v>
      </c>
      <c r="AH28" s="7">
        <f t="shared" si="17"/>
        <v>103.18998104367252</v>
      </c>
      <c r="AI28" s="22">
        <f t="shared" si="18"/>
        <v>3302.0793933975206</v>
      </c>
      <c r="AJ28" s="22">
        <f t="shared" si="2"/>
        <v>9658.5822256877473</v>
      </c>
      <c r="AL28" s="15">
        <f t="shared" si="36"/>
        <v>0.5</v>
      </c>
      <c r="AM28" s="7">
        <f t="shared" si="19"/>
        <v>187.86426991789659</v>
      </c>
      <c r="AN28" s="7">
        <f t="shared" si="20"/>
        <v>93.932134958948296</v>
      </c>
      <c r="AP28" s="7">
        <f t="shared" si="37"/>
        <v>36</v>
      </c>
      <c r="AQ28" s="7">
        <f t="shared" si="21"/>
        <v>43.596955391963007</v>
      </c>
      <c r="AR28" s="22">
        <f t="shared" si="22"/>
        <v>1569.4903941106681</v>
      </c>
      <c r="AS28" s="7">
        <f t="shared" si="38"/>
        <v>60</v>
      </c>
      <c r="AT28" s="7">
        <f t="shared" si="23"/>
        <v>43.596955391963007</v>
      </c>
      <c r="AU28" s="22">
        <f t="shared" si="24"/>
        <v>2615.8173235177806</v>
      </c>
      <c r="AV28" s="22">
        <f t="shared" si="25"/>
        <v>4185.3077176284487</v>
      </c>
      <c r="AX28" s="7">
        <f t="shared" si="39"/>
        <v>231</v>
      </c>
      <c r="AY28" s="7">
        <f t="shared" si="26"/>
        <v>43.596955391963007</v>
      </c>
      <c r="AZ28" s="22">
        <f t="shared" si="40"/>
        <v>10070.896695543455</v>
      </c>
      <c r="BB28" s="7">
        <f t="shared" si="41"/>
        <v>63.812886784805329</v>
      </c>
      <c r="BD28" s="22">
        <f t="shared" si="3"/>
        <v>27408.441435041692</v>
      </c>
      <c r="BF28" s="22">
        <f t="shared" si="4"/>
        <v>46278.702133590938</v>
      </c>
      <c r="BH28" s="15">
        <f t="shared" si="27"/>
        <v>4.6724176331915119</v>
      </c>
      <c r="BJ28" s="7">
        <f>+'Almonds Margin - Alter.Ex.Rate'!BN28</f>
        <v>243.65426522684771</v>
      </c>
      <c r="BK28" s="7">
        <f>+'Almonds Margin - Alter.Ex.Rate'!BO28</f>
        <v>274.75770109246042</v>
      </c>
      <c r="BL28" s="7">
        <f>+'Almonds Margin - Alter.Ex.Rate'!BP28</f>
        <v>74.625447083007742</v>
      </c>
      <c r="BM28" s="7">
        <f>+'Almonds Margin - Alter.Ex.Rate'!BQ28</f>
        <v>107.58513225901993</v>
      </c>
    </row>
    <row r="29" spans="1:65" x14ac:dyDescent="0.2">
      <c r="A29" s="8">
        <f t="shared" si="5"/>
        <v>2043</v>
      </c>
      <c r="B29" s="22">
        <f>+'Grapes Margin - Baseline'!B29</f>
        <v>3494.9143520013477</v>
      </c>
      <c r="C29" s="22">
        <f t="shared" si="28"/>
        <v>5875.028077432401</v>
      </c>
      <c r="E29" s="15">
        <f t="shared" si="42"/>
        <v>12.478442300849444</v>
      </c>
      <c r="F29" s="15">
        <f t="shared" si="42"/>
        <v>12.897181975374595</v>
      </c>
      <c r="H29" s="22">
        <f t="shared" si="0"/>
        <v>43611.087087859443</v>
      </c>
      <c r="I29" s="22">
        <f t="shared" si="0"/>
        <v>75771.306225080829</v>
      </c>
      <c r="K29" s="54">
        <f t="shared" si="30"/>
        <v>176</v>
      </c>
      <c r="L29" s="14">
        <f t="shared" si="6"/>
        <v>2.6734135064122846</v>
      </c>
      <c r="M29" s="7">
        <f t="shared" si="7"/>
        <v>470.52077712856209</v>
      </c>
      <c r="O29" s="15">
        <f t="shared" si="31"/>
        <v>4</v>
      </c>
      <c r="P29" s="7">
        <f t="shared" si="8"/>
        <v>53.958804716578236</v>
      </c>
      <c r="Q29" s="7">
        <f t="shared" si="9"/>
        <v>215.83521886631294</v>
      </c>
      <c r="S29" s="15">
        <f t="shared" si="32"/>
        <v>2</v>
      </c>
      <c r="T29" s="7">
        <f t="shared" si="10"/>
        <v>53.958804716578236</v>
      </c>
      <c r="U29" s="7">
        <f t="shared" si="11"/>
        <v>107.91760943315647</v>
      </c>
      <c r="W29" s="14">
        <f t="shared" si="33"/>
        <v>8</v>
      </c>
      <c r="X29" s="7">
        <f t="shared" si="12"/>
        <v>161.87641414973473</v>
      </c>
      <c r="Y29" s="22">
        <f t="shared" si="13"/>
        <v>1295.0113131978778</v>
      </c>
      <c r="AA29" s="7">
        <f t="shared" si="14"/>
        <v>97.851619357679922</v>
      </c>
      <c r="AB29" s="7">
        <f t="shared" si="1"/>
        <v>1262.0101414410854</v>
      </c>
      <c r="AD29" s="7">
        <f t="shared" si="34"/>
        <v>15.4</v>
      </c>
      <c r="AE29" s="7">
        <f t="shared" si="15"/>
        <v>419.36408296148511</v>
      </c>
      <c r="AF29" s="22">
        <f t="shared" si="16"/>
        <v>6458.2068776068709</v>
      </c>
      <c r="AG29" s="7">
        <f t="shared" si="35"/>
        <v>32</v>
      </c>
      <c r="AH29" s="7">
        <f t="shared" si="17"/>
        <v>104.84102074037128</v>
      </c>
      <c r="AI29" s="22">
        <f t="shared" si="18"/>
        <v>3354.9126636918809</v>
      </c>
      <c r="AJ29" s="22">
        <f t="shared" si="2"/>
        <v>9813.1195412987508</v>
      </c>
      <c r="AL29" s="15">
        <f t="shared" si="36"/>
        <v>0.5</v>
      </c>
      <c r="AM29" s="7">
        <f t="shared" si="19"/>
        <v>193.8759265552693</v>
      </c>
      <c r="AN29" s="7">
        <f t="shared" si="20"/>
        <v>96.937963277634651</v>
      </c>
      <c r="AP29" s="7">
        <f t="shared" si="37"/>
        <v>36</v>
      </c>
      <c r="AQ29" s="7">
        <f t="shared" si="21"/>
        <v>44.992057964505818</v>
      </c>
      <c r="AR29" s="22">
        <f t="shared" si="22"/>
        <v>1619.7140867222095</v>
      </c>
      <c r="AS29" s="7">
        <f t="shared" si="38"/>
        <v>60</v>
      </c>
      <c r="AT29" s="7">
        <f t="shared" si="23"/>
        <v>44.992057964505818</v>
      </c>
      <c r="AU29" s="22">
        <f t="shared" si="24"/>
        <v>2699.5234778703489</v>
      </c>
      <c r="AV29" s="22">
        <f t="shared" si="25"/>
        <v>4319.2375645925586</v>
      </c>
      <c r="AX29" s="7">
        <f t="shared" si="39"/>
        <v>231</v>
      </c>
      <c r="AY29" s="7">
        <f t="shared" si="26"/>
        <v>44.992057964505818</v>
      </c>
      <c r="AZ29" s="22">
        <f t="shared" si="40"/>
        <v>10393.165389800844</v>
      </c>
      <c r="BB29" s="7">
        <f t="shared" si="41"/>
        <v>63.583107138596752</v>
      </c>
      <c r="BD29" s="22">
        <f t="shared" si="3"/>
        <v>28037.33862617538</v>
      </c>
      <c r="BF29" s="22">
        <f t="shared" si="4"/>
        <v>47733.967598905452</v>
      </c>
      <c r="BH29" s="15">
        <f t="shared" si="27"/>
        <v>4.6324883693404217</v>
      </c>
      <c r="BJ29" s="7">
        <f>+'Almonds Margin - Alter.Ex.Rate'!BN29</f>
        <v>251.45120171410684</v>
      </c>
      <c r="BK29" s="7">
        <f>+'Almonds Margin - Alter.Ex.Rate'!BO29</f>
        <v>283.54994752741914</v>
      </c>
      <c r="BL29" s="7">
        <f>+'Almonds Margin - Alter.Ex.Rate'!BP29</f>
        <v>74.625447083007742</v>
      </c>
      <c r="BM29" s="7">
        <f>+'Almonds Margin - Alter.Ex.Rate'!BQ29</f>
        <v>107.58513225901993</v>
      </c>
    </row>
    <row r="30" spans="1:65" x14ac:dyDescent="0.2">
      <c r="A30" s="8">
        <f t="shared" si="5"/>
        <v>2044</v>
      </c>
      <c r="B30" s="22">
        <f>+'Grapes Margin - Baseline'!B30</f>
        <v>3494.9143520013477</v>
      </c>
      <c r="C30" s="22">
        <f t="shared" si="28"/>
        <v>6063.0289759102379</v>
      </c>
      <c r="E30" s="15">
        <f t="shared" si="42"/>
        <v>12.433509494929025</v>
      </c>
      <c r="F30" s="15">
        <f t="shared" si="42"/>
        <v>12.850741357174966</v>
      </c>
      <c r="H30" s="22">
        <f t="shared" si="0"/>
        <v>43454.050779572477</v>
      </c>
      <c r="I30" s="22">
        <f t="shared" si="0"/>
        <v>77914.417210479878</v>
      </c>
      <c r="K30" s="54">
        <f t="shared" si="30"/>
        <v>176</v>
      </c>
      <c r="L30" s="14">
        <f t="shared" si="6"/>
        <v>2.6734135064122846</v>
      </c>
      <c r="M30" s="7">
        <f t="shared" si="7"/>
        <v>470.52077712856209</v>
      </c>
      <c r="O30" s="15">
        <f t="shared" si="31"/>
        <v>4</v>
      </c>
      <c r="P30" s="7">
        <f t="shared" si="8"/>
        <v>53.958804716578236</v>
      </c>
      <c r="Q30" s="7">
        <f t="shared" si="9"/>
        <v>215.83521886631294</v>
      </c>
      <c r="S30" s="15">
        <f t="shared" si="32"/>
        <v>2</v>
      </c>
      <c r="T30" s="7">
        <f t="shared" si="10"/>
        <v>53.958804716578236</v>
      </c>
      <c r="U30" s="7">
        <f t="shared" si="11"/>
        <v>107.91760943315647</v>
      </c>
      <c r="W30" s="14">
        <f t="shared" si="33"/>
        <v>8</v>
      </c>
      <c r="X30" s="7">
        <f t="shared" si="12"/>
        <v>161.87641414973473</v>
      </c>
      <c r="Y30" s="22">
        <f t="shared" si="13"/>
        <v>1295.0113131978778</v>
      </c>
      <c r="AA30" s="7">
        <f t="shared" si="14"/>
        <v>99.417245267402805</v>
      </c>
      <c r="AB30" s="7">
        <f t="shared" si="1"/>
        <v>1277.5853053742205</v>
      </c>
      <c r="AD30" s="7">
        <f t="shared" si="34"/>
        <v>15.4</v>
      </c>
      <c r="AE30" s="7">
        <f t="shared" si="15"/>
        <v>426.07390828886889</v>
      </c>
      <c r="AF30" s="22">
        <f t="shared" si="16"/>
        <v>6561.5381876485808</v>
      </c>
      <c r="AG30" s="7">
        <f t="shared" si="35"/>
        <v>32</v>
      </c>
      <c r="AH30" s="7">
        <f t="shared" si="17"/>
        <v>106.51847707221722</v>
      </c>
      <c r="AI30" s="22">
        <f t="shared" si="18"/>
        <v>3408.5912663109511</v>
      </c>
      <c r="AJ30" s="22">
        <f t="shared" si="2"/>
        <v>9970.1294539595328</v>
      </c>
      <c r="AL30" s="15">
        <f t="shared" si="36"/>
        <v>0.5</v>
      </c>
      <c r="AM30" s="7">
        <f t="shared" si="19"/>
        <v>200.07995620503792</v>
      </c>
      <c r="AN30" s="7">
        <f t="shared" si="20"/>
        <v>100.03997810251896</v>
      </c>
      <c r="AP30" s="7">
        <f t="shared" si="37"/>
        <v>36</v>
      </c>
      <c r="AQ30" s="7">
        <f t="shared" si="21"/>
        <v>46.431803819370003</v>
      </c>
      <c r="AR30" s="22">
        <f t="shared" si="22"/>
        <v>1671.54493749732</v>
      </c>
      <c r="AS30" s="7">
        <f t="shared" si="38"/>
        <v>60</v>
      </c>
      <c r="AT30" s="7">
        <f t="shared" si="23"/>
        <v>46.431803819370003</v>
      </c>
      <c r="AU30" s="22">
        <f t="shared" si="24"/>
        <v>2785.9082291622003</v>
      </c>
      <c r="AV30" s="22">
        <f t="shared" si="25"/>
        <v>4457.4531666595203</v>
      </c>
      <c r="AX30" s="7">
        <f t="shared" si="39"/>
        <v>231</v>
      </c>
      <c r="AY30" s="7">
        <f t="shared" si="26"/>
        <v>46.431803819370003</v>
      </c>
      <c r="AZ30" s="22">
        <f t="shared" si="40"/>
        <v>10725.74668227447</v>
      </c>
      <c r="BB30" s="7">
        <f t="shared" si="41"/>
        <v>63.354154890872579</v>
      </c>
      <c r="BD30" s="22">
        <f t="shared" si="3"/>
        <v>28683.593659887043</v>
      </c>
      <c r="BF30" s="22">
        <f t="shared" si="4"/>
        <v>49230.823550592831</v>
      </c>
      <c r="BH30" s="15">
        <f t="shared" si="27"/>
        <v>4.5933878164550075</v>
      </c>
      <c r="BJ30" s="7">
        <f>+'Almonds Margin - Alter.Ex.Rate'!BN30</f>
        <v>259.49764016895824</v>
      </c>
      <c r="BK30" s="7">
        <f>+'Almonds Margin - Alter.Ex.Rate'!BO30</f>
        <v>292.62354584829654</v>
      </c>
      <c r="BL30" s="7">
        <f>+'Almonds Margin - Alter.Ex.Rate'!BP30</f>
        <v>74.625447083007742</v>
      </c>
      <c r="BM30" s="7">
        <f>+'Almonds Margin - Alter.Ex.Rate'!BQ30</f>
        <v>107.58513225901993</v>
      </c>
    </row>
    <row r="31" spans="1:65" x14ac:dyDescent="0.2">
      <c r="A31" s="8">
        <f t="shared" si="5"/>
        <v>2045</v>
      </c>
      <c r="B31" s="22">
        <f>+'Grapes Margin - Baseline'!B31</f>
        <v>3494.9143520013477</v>
      </c>
      <c r="C31" s="22">
        <f t="shared" si="28"/>
        <v>6257.0459031393648</v>
      </c>
      <c r="E31" s="15">
        <f t="shared" si="42"/>
        <v>12.388738484607703</v>
      </c>
      <c r="F31" s="15">
        <f t="shared" si="42"/>
        <v>12.804467963956956</v>
      </c>
      <c r="H31" s="22">
        <f t="shared" si="0"/>
        <v>43297.579933046887</v>
      </c>
      <c r="I31" s="22">
        <f t="shared" si="0"/>
        <v>80118.143815756121</v>
      </c>
      <c r="K31" s="54">
        <f t="shared" si="30"/>
        <v>176</v>
      </c>
      <c r="L31" s="14">
        <f t="shared" si="6"/>
        <v>2.6734135064122846</v>
      </c>
      <c r="M31" s="7">
        <f t="shared" si="7"/>
        <v>470.52077712856209</v>
      </c>
      <c r="O31" s="15">
        <f t="shared" si="31"/>
        <v>4</v>
      </c>
      <c r="P31" s="7">
        <f t="shared" si="8"/>
        <v>53.958804716578236</v>
      </c>
      <c r="Q31" s="7">
        <f t="shared" si="9"/>
        <v>215.83521886631294</v>
      </c>
      <c r="S31" s="15">
        <f t="shared" si="32"/>
        <v>2</v>
      </c>
      <c r="T31" s="7">
        <f t="shared" si="10"/>
        <v>53.958804716578236</v>
      </c>
      <c r="U31" s="7">
        <f t="shared" si="11"/>
        <v>107.91760943315647</v>
      </c>
      <c r="W31" s="14">
        <f t="shared" si="33"/>
        <v>8</v>
      </c>
      <c r="X31" s="7">
        <f t="shared" si="12"/>
        <v>161.87641414973473</v>
      </c>
      <c r="Y31" s="22">
        <f t="shared" si="13"/>
        <v>1295.0113131978778</v>
      </c>
      <c r="AA31" s="7">
        <f t="shared" si="14"/>
        <v>101.00792119168125</v>
      </c>
      <c r="AB31" s="7">
        <f t="shared" si="1"/>
        <v>1293.3526910047715</v>
      </c>
      <c r="AD31" s="7">
        <f t="shared" si="34"/>
        <v>15.4</v>
      </c>
      <c r="AE31" s="7">
        <f t="shared" si="15"/>
        <v>432.89109082149082</v>
      </c>
      <c r="AF31" s="22">
        <f t="shared" si="16"/>
        <v>6666.522798650959</v>
      </c>
      <c r="AG31" s="7">
        <f t="shared" si="35"/>
        <v>32</v>
      </c>
      <c r="AH31" s="7">
        <f t="shared" si="17"/>
        <v>108.22277270537271</v>
      </c>
      <c r="AI31" s="22">
        <f t="shared" si="18"/>
        <v>3463.1287265719266</v>
      </c>
      <c r="AJ31" s="22">
        <f t="shared" si="2"/>
        <v>10129.651525222886</v>
      </c>
      <c r="AL31" s="15">
        <f t="shared" si="36"/>
        <v>0.5</v>
      </c>
      <c r="AM31" s="7">
        <f t="shared" si="19"/>
        <v>206.48251480359912</v>
      </c>
      <c r="AN31" s="7">
        <f t="shared" si="20"/>
        <v>103.24125740179956</v>
      </c>
      <c r="AP31" s="7">
        <f t="shared" si="37"/>
        <v>36</v>
      </c>
      <c r="AQ31" s="7">
        <f t="shared" si="21"/>
        <v>47.917621541589845</v>
      </c>
      <c r="AR31" s="22">
        <f t="shared" si="22"/>
        <v>1725.0343754972344</v>
      </c>
      <c r="AS31" s="7">
        <f t="shared" si="38"/>
        <v>60</v>
      </c>
      <c r="AT31" s="7">
        <f t="shared" si="23"/>
        <v>47.917621541589845</v>
      </c>
      <c r="AU31" s="22">
        <f t="shared" si="24"/>
        <v>2875.0572924953908</v>
      </c>
      <c r="AV31" s="22">
        <f t="shared" si="25"/>
        <v>4600.0916679926249</v>
      </c>
      <c r="AX31" s="7">
        <f t="shared" si="39"/>
        <v>231</v>
      </c>
      <c r="AY31" s="7">
        <f t="shared" si="26"/>
        <v>47.917621541589845</v>
      </c>
      <c r="AZ31" s="22">
        <f t="shared" si="40"/>
        <v>11068.970576107255</v>
      </c>
      <c r="BB31" s="7">
        <f t="shared" si="41"/>
        <v>63.126027062307791</v>
      </c>
      <c r="BD31" s="22">
        <f t="shared" si="3"/>
        <v>29347.718663417552</v>
      </c>
      <c r="BF31" s="22">
        <f t="shared" si="4"/>
        <v>50770.425152338568</v>
      </c>
      <c r="BH31" s="15">
        <f t="shared" si="27"/>
        <v>4.5550963277331258</v>
      </c>
      <c r="BJ31" s="7">
        <f>+'Almonds Margin - Alter.Ex.Rate'!BN31</f>
        <v>267.80156465436488</v>
      </c>
      <c r="BK31" s="7">
        <f>+'Almonds Margin - Alter.Ex.Rate'!BO31</f>
        <v>301.98749931544205</v>
      </c>
      <c r="BL31" s="7">
        <f>+'Almonds Margin - Alter.Ex.Rate'!BP31</f>
        <v>74.625447083007742</v>
      </c>
      <c r="BM31" s="7">
        <f>+'Almonds Margin - Alter.Ex.Rate'!BQ31</f>
        <v>107.58513225901993</v>
      </c>
    </row>
    <row r="32" spans="1:65" x14ac:dyDescent="0.2">
      <c r="A32" s="8">
        <f t="shared" si="5"/>
        <v>2046</v>
      </c>
      <c r="B32" s="22">
        <f>+'Grapes Margin - Baseline'!B32</f>
        <v>3494.9143520013477</v>
      </c>
      <c r="C32" s="22">
        <f t="shared" si="28"/>
        <v>6457.2713720398242</v>
      </c>
      <c r="E32" s="15">
        <f t="shared" si="42"/>
        <v>12.3441286872863</v>
      </c>
      <c r="F32" s="15">
        <f t="shared" si="42"/>
        <v>12.758361193571076</v>
      </c>
      <c r="H32" s="22">
        <f t="shared" si="0"/>
        <v>43141.672512148449</v>
      </c>
      <c r="I32" s="22">
        <f t="shared" si="0"/>
        <v>82384.20048939035</v>
      </c>
      <c r="K32" s="54">
        <f t="shared" si="30"/>
        <v>176</v>
      </c>
      <c r="L32" s="14">
        <f t="shared" si="6"/>
        <v>2.6734135064122846</v>
      </c>
      <c r="M32" s="7">
        <f t="shared" si="7"/>
        <v>470.52077712856209</v>
      </c>
      <c r="O32" s="15">
        <f t="shared" si="31"/>
        <v>4</v>
      </c>
      <c r="P32" s="7">
        <f t="shared" si="8"/>
        <v>53.958804716578236</v>
      </c>
      <c r="Q32" s="7">
        <f t="shared" si="9"/>
        <v>215.83521886631294</v>
      </c>
      <c r="S32" s="15">
        <f t="shared" si="32"/>
        <v>2</v>
      </c>
      <c r="T32" s="7">
        <f t="shared" si="10"/>
        <v>53.958804716578236</v>
      </c>
      <c r="U32" s="7">
        <f t="shared" si="11"/>
        <v>107.91760943315647</v>
      </c>
      <c r="W32" s="14">
        <f t="shared" si="33"/>
        <v>8</v>
      </c>
      <c r="X32" s="7">
        <f t="shared" si="12"/>
        <v>161.87641414973473</v>
      </c>
      <c r="Y32" s="22">
        <f t="shared" si="13"/>
        <v>1295.0113131978778</v>
      </c>
      <c r="AA32" s="7">
        <f t="shared" si="14"/>
        <v>102.62404793074815</v>
      </c>
      <c r="AB32" s="7">
        <f t="shared" si="1"/>
        <v>1309.3146706468353</v>
      </c>
      <c r="AD32" s="7">
        <f t="shared" si="34"/>
        <v>15.4</v>
      </c>
      <c r="AE32" s="7">
        <f t="shared" si="15"/>
        <v>439.8173482746347</v>
      </c>
      <c r="AF32" s="22">
        <f t="shared" si="16"/>
        <v>6773.1871634293748</v>
      </c>
      <c r="AG32" s="7">
        <f t="shared" si="35"/>
        <v>32</v>
      </c>
      <c r="AH32" s="7">
        <f t="shared" si="17"/>
        <v>109.95433706865867</v>
      </c>
      <c r="AI32" s="22">
        <f t="shared" si="18"/>
        <v>3518.5387861970776</v>
      </c>
      <c r="AJ32" s="22">
        <f t="shared" si="2"/>
        <v>10291.725949626452</v>
      </c>
      <c r="AL32" s="15">
        <f t="shared" si="36"/>
        <v>0.5</v>
      </c>
      <c r="AM32" s="7">
        <f t="shared" si="19"/>
        <v>213.08995527731429</v>
      </c>
      <c r="AN32" s="7">
        <f t="shared" si="20"/>
        <v>106.54497763865714</v>
      </c>
      <c r="AP32" s="7">
        <f t="shared" si="37"/>
        <v>36</v>
      </c>
      <c r="AQ32" s="7">
        <f t="shared" si="21"/>
        <v>49.450985430920724</v>
      </c>
      <c r="AR32" s="22">
        <f t="shared" si="22"/>
        <v>1780.235475513146</v>
      </c>
      <c r="AS32" s="7">
        <f t="shared" si="38"/>
        <v>60</v>
      </c>
      <c r="AT32" s="7">
        <f t="shared" si="23"/>
        <v>49.450985430920724</v>
      </c>
      <c r="AU32" s="22">
        <f t="shared" si="24"/>
        <v>2967.0591258552436</v>
      </c>
      <c r="AV32" s="22">
        <f t="shared" si="25"/>
        <v>4747.2946013683895</v>
      </c>
      <c r="AX32" s="7">
        <f t="shared" si="39"/>
        <v>231</v>
      </c>
      <c r="AY32" s="7">
        <f t="shared" si="26"/>
        <v>49.450985430920724</v>
      </c>
      <c r="AZ32" s="22">
        <f t="shared" si="40"/>
        <v>11423.177634542688</v>
      </c>
      <c r="BB32" s="7">
        <f t="shared" si="41"/>
        <v>62.898720684305403</v>
      </c>
      <c r="BD32" s="22">
        <f t="shared" si="3"/>
        <v>30030.241473133236</v>
      </c>
      <c r="BF32" s="22">
        <f t="shared" si="4"/>
        <v>52353.959016257111</v>
      </c>
      <c r="BH32" s="15">
        <f t="shared" si="27"/>
        <v>4.5175947869748461</v>
      </c>
      <c r="BJ32" s="7">
        <f>+'Almonds Margin - Alter.Ex.Rate'!BN32</f>
        <v>276.37121472330455</v>
      </c>
      <c r="BK32" s="7">
        <f>+'Almonds Margin - Alter.Ex.Rate'!BO32</f>
        <v>311.65109929353622</v>
      </c>
      <c r="BL32" s="7">
        <f>+'Almonds Margin - Alter.Ex.Rate'!BP32</f>
        <v>74.625447083007742</v>
      </c>
      <c r="BM32" s="7">
        <f>+'Almonds Margin - Alter.Ex.Rate'!BQ32</f>
        <v>107.58513225901993</v>
      </c>
    </row>
    <row r="33" spans="1:65" x14ac:dyDescent="0.2">
      <c r="A33" s="8">
        <f t="shared" si="5"/>
        <v>2047</v>
      </c>
      <c r="B33" s="22">
        <f>+'Grapes Margin - Baseline'!B33</f>
        <v>3494.9143520013477</v>
      </c>
      <c r="C33" s="22">
        <f t="shared" si="28"/>
        <v>6663.9040559450996</v>
      </c>
      <c r="E33" s="15">
        <f t="shared" si="42"/>
        <v>12.29967952246348</v>
      </c>
      <c r="F33" s="15">
        <f t="shared" si="42"/>
        <v>12.712420446036081</v>
      </c>
      <c r="H33" s="22">
        <f t="shared" si="0"/>
        <v>42986.326488074701</v>
      </c>
      <c r="I33" s="22">
        <f t="shared" si="0"/>
        <v>84714.350171219252</v>
      </c>
      <c r="K33" s="54">
        <f t="shared" si="30"/>
        <v>176</v>
      </c>
      <c r="L33" s="14">
        <f t="shared" si="6"/>
        <v>2.6734135064122855</v>
      </c>
      <c r="M33" s="7">
        <f t="shared" si="7"/>
        <v>470.52077712856226</v>
      </c>
      <c r="O33" s="15">
        <f t="shared" si="31"/>
        <v>4</v>
      </c>
      <c r="P33" s="7">
        <f t="shared" si="8"/>
        <v>53.95880471657825</v>
      </c>
      <c r="Q33" s="7">
        <f t="shared" si="9"/>
        <v>215.835218866313</v>
      </c>
      <c r="S33" s="15">
        <f t="shared" si="32"/>
        <v>2</v>
      </c>
      <c r="T33" s="7">
        <f t="shared" si="10"/>
        <v>53.95880471657825</v>
      </c>
      <c r="U33" s="7">
        <f t="shared" si="11"/>
        <v>107.9176094331565</v>
      </c>
      <c r="W33" s="14">
        <f t="shared" si="33"/>
        <v>8</v>
      </c>
      <c r="X33" s="7">
        <f t="shared" si="12"/>
        <v>161.87641414973479</v>
      </c>
      <c r="Y33" s="22">
        <f t="shared" si="13"/>
        <v>1295.0113131978783</v>
      </c>
      <c r="AA33" s="7">
        <f t="shared" si="14"/>
        <v>104.26603269764011</v>
      </c>
      <c r="AB33" s="7">
        <f t="shared" si="1"/>
        <v>1325.4736458925468</v>
      </c>
      <c r="AD33" s="7">
        <f t="shared" si="34"/>
        <v>15.4</v>
      </c>
      <c r="AE33" s="7">
        <f t="shared" si="15"/>
        <v>446.85442584702884</v>
      </c>
      <c r="AF33" s="22">
        <f t="shared" si="16"/>
        <v>6881.558158044244</v>
      </c>
      <c r="AG33" s="7">
        <f t="shared" si="35"/>
        <v>32</v>
      </c>
      <c r="AH33" s="7">
        <f t="shared" si="17"/>
        <v>111.71360646175721</v>
      </c>
      <c r="AI33" s="22">
        <f t="shared" si="18"/>
        <v>3574.8354067762307</v>
      </c>
      <c r="AJ33" s="22">
        <f t="shared" si="2"/>
        <v>10456.393564820475</v>
      </c>
      <c r="AL33" s="15">
        <f t="shared" si="36"/>
        <v>0.5</v>
      </c>
      <c r="AM33" s="7">
        <f t="shared" si="19"/>
        <v>219.90883384618837</v>
      </c>
      <c r="AN33" s="7">
        <f t="shared" si="20"/>
        <v>109.95441692309419</v>
      </c>
      <c r="AP33" s="7">
        <f t="shared" si="37"/>
        <v>36</v>
      </c>
      <c r="AQ33" s="7">
        <f t="shared" si="21"/>
        <v>51.033416964710192</v>
      </c>
      <c r="AR33" s="22">
        <f t="shared" si="22"/>
        <v>1837.2030107295668</v>
      </c>
      <c r="AS33" s="7">
        <f t="shared" si="38"/>
        <v>60</v>
      </c>
      <c r="AT33" s="7">
        <f t="shared" si="23"/>
        <v>51.033416964710192</v>
      </c>
      <c r="AU33" s="22">
        <f t="shared" si="24"/>
        <v>3062.0050178826114</v>
      </c>
      <c r="AV33" s="22">
        <f t="shared" si="25"/>
        <v>4899.2080286121782</v>
      </c>
      <c r="AX33" s="7">
        <f t="shared" si="39"/>
        <v>231</v>
      </c>
      <c r="AY33" s="7">
        <f t="shared" si="26"/>
        <v>51.033416964710192</v>
      </c>
      <c r="AZ33" s="22">
        <f t="shared" si="40"/>
        <v>11788.719318848054</v>
      </c>
      <c r="BB33" s="7">
        <f t="shared" si="41"/>
        <v>62.672232798957872</v>
      </c>
      <c r="BD33" s="22">
        <f t="shared" si="3"/>
        <v>30731.706126521214</v>
      </c>
      <c r="BF33" s="22">
        <f t="shared" si="4"/>
        <v>53982.644044698041</v>
      </c>
      <c r="BH33" s="15">
        <f t="shared" si="27"/>
        <v>4.4808645925551218</v>
      </c>
      <c r="BJ33" s="7">
        <f>+'Almonds Margin - Alter.Ex.Rate'!BN33</f>
        <v>285.21509359445031</v>
      </c>
      <c r="BK33" s="7">
        <f>+'Almonds Margin - Alter.Ex.Rate'!BO33</f>
        <v>321.62393447092938</v>
      </c>
      <c r="BL33" s="7">
        <f>+'Almonds Margin - Alter.Ex.Rate'!BP33</f>
        <v>74.625447083007742</v>
      </c>
      <c r="BM33" s="7">
        <f>+'Almonds Margin - Alter.Ex.Rate'!BQ33</f>
        <v>107.58513225901996</v>
      </c>
    </row>
    <row r="34" spans="1:65" x14ac:dyDescent="0.2">
      <c r="A34" s="8">
        <f t="shared" si="5"/>
        <v>2048</v>
      </c>
      <c r="B34" s="22">
        <f>+'Grapes Margin - Baseline'!B34</f>
        <v>3494.9143520013477</v>
      </c>
      <c r="C34" s="22">
        <f t="shared" si="28"/>
        <v>6877.1489857353426</v>
      </c>
      <c r="E34" s="15">
        <f t="shared" si="42"/>
        <v>12.255390411728193</v>
      </c>
      <c r="F34" s="15">
        <f t="shared" si="42"/>
        <v>12.666645123531152</v>
      </c>
      <c r="H34" s="22">
        <f t="shared" si="0"/>
        <v>42831.539839328565</v>
      </c>
      <c r="I34" s="22">
        <f t="shared" si="0"/>
        <v>87110.405663961792</v>
      </c>
      <c r="K34" s="54">
        <f t="shared" si="30"/>
        <v>176</v>
      </c>
      <c r="L34" s="14">
        <f t="shared" si="6"/>
        <v>2.6734135064122846</v>
      </c>
      <c r="M34" s="7">
        <f t="shared" si="7"/>
        <v>470.52077712856209</v>
      </c>
      <c r="O34" s="15">
        <f t="shared" si="31"/>
        <v>4</v>
      </c>
      <c r="P34" s="7">
        <f t="shared" si="8"/>
        <v>53.958804716578236</v>
      </c>
      <c r="Q34" s="7">
        <f t="shared" si="9"/>
        <v>215.83521886631294</v>
      </c>
      <c r="S34" s="15">
        <f t="shared" si="32"/>
        <v>2</v>
      </c>
      <c r="T34" s="7">
        <f t="shared" si="10"/>
        <v>53.958804716578236</v>
      </c>
      <c r="U34" s="7">
        <f t="shared" si="11"/>
        <v>107.91760943315647</v>
      </c>
      <c r="W34" s="14">
        <f t="shared" si="33"/>
        <v>8</v>
      </c>
      <c r="X34" s="7">
        <f t="shared" si="12"/>
        <v>161.87641414973473</v>
      </c>
      <c r="Y34" s="22">
        <f t="shared" si="13"/>
        <v>1295.0113131978778</v>
      </c>
      <c r="AA34" s="7">
        <f t="shared" si="14"/>
        <v>105.93428922080236</v>
      </c>
      <c r="AB34" s="7">
        <f t="shared" si="1"/>
        <v>1341.8320479734148</v>
      </c>
      <c r="AD34" s="7">
        <f t="shared" si="34"/>
        <v>15.4</v>
      </c>
      <c r="AE34" s="7">
        <f t="shared" si="15"/>
        <v>454.0040966605813</v>
      </c>
      <c r="AF34" s="22">
        <f t="shared" si="16"/>
        <v>6991.6630885729519</v>
      </c>
      <c r="AG34" s="7">
        <f t="shared" si="35"/>
        <v>32</v>
      </c>
      <c r="AH34" s="7">
        <f t="shared" si="17"/>
        <v>113.50102416514532</v>
      </c>
      <c r="AI34" s="22">
        <f t="shared" si="18"/>
        <v>3632.0327732846504</v>
      </c>
      <c r="AJ34" s="22">
        <f t="shared" si="2"/>
        <v>10623.695861857603</v>
      </c>
      <c r="AL34" s="15">
        <f t="shared" si="36"/>
        <v>0.5</v>
      </c>
      <c r="AM34" s="7">
        <f t="shared" si="19"/>
        <v>226.94591652926638</v>
      </c>
      <c r="AN34" s="7">
        <f t="shared" si="20"/>
        <v>113.47295826463319</v>
      </c>
      <c r="AP34" s="7">
        <f t="shared" si="37"/>
        <v>36</v>
      </c>
      <c r="AQ34" s="7">
        <f t="shared" si="21"/>
        <v>52.666486307580918</v>
      </c>
      <c r="AR34" s="22">
        <f t="shared" si="22"/>
        <v>1895.993507072913</v>
      </c>
      <c r="AS34" s="7">
        <f t="shared" si="38"/>
        <v>60</v>
      </c>
      <c r="AT34" s="7">
        <f t="shared" si="23"/>
        <v>52.666486307580918</v>
      </c>
      <c r="AU34" s="22">
        <f t="shared" si="24"/>
        <v>3159.9891784548549</v>
      </c>
      <c r="AV34" s="22">
        <f t="shared" si="25"/>
        <v>5055.9826855277679</v>
      </c>
      <c r="AX34" s="7">
        <f t="shared" si="39"/>
        <v>231</v>
      </c>
      <c r="AY34" s="7">
        <f t="shared" si="26"/>
        <v>52.666486307580918</v>
      </c>
      <c r="AZ34" s="22">
        <f t="shared" si="40"/>
        <v>12165.958337051192</v>
      </c>
      <c r="BB34" s="7">
        <f t="shared" si="41"/>
        <v>62.44656045900858</v>
      </c>
      <c r="BD34" s="22">
        <f t="shared" si="3"/>
        <v>31452.673369759526</v>
      </c>
      <c r="BF34" s="22">
        <f t="shared" si="4"/>
        <v>55657.732294202266</v>
      </c>
      <c r="BH34" s="15">
        <f t="shared" si="27"/>
        <v>4.4448876419294177</v>
      </c>
      <c r="BJ34" s="7">
        <f>+'Almonds Margin - Alter.Ex.Rate'!BN34</f>
        <v>294.34197658947272</v>
      </c>
      <c r="BK34" s="7">
        <f>+'Almonds Margin - Alter.Ex.Rate'!BO34</f>
        <v>331.91590037399914</v>
      </c>
      <c r="BL34" s="7">
        <f>+'Almonds Margin - Alter.Ex.Rate'!BP34</f>
        <v>74.625447083007742</v>
      </c>
      <c r="BM34" s="7">
        <f>+'Almonds Margin - Alter.Ex.Rate'!BQ34</f>
        <v>107.58513225901993</v>
      </c>
    </row>
    <row r="35" spans="1:65" x14ac:dyDescent="0.2">
      <c r="A35" s="8">
        <f t="shared" si="5"/>
        <v>2049</v>
      </c>
      <c r="B35" s="22">
        <f>+'Grapes Margin - Baseline'!B35</f>
        <v>3494.9143520013477</v>
      </c>
      <c r="C35" s="22">
        <f t="shared" si="28"/>
        <v>7097.2177532788746</v>
      </c>
      <c r="E35" s="15">
        <f t="shared" si="42"/>
        <v>12.211260778752155</v>
      </c>
      <c r="F35" s="15">
        <f t="shared" si="42"/>
        <v>12.621034630388133</v>
      </c>
      <c r="H35" s="22">
        <f t="shared" si="0"/>
        <v>42677.310551692062</v>
      </c>
      <c r="I35" s="22">
        <f t="shared" si="0"/>
        <v>89574.231043538137</v>
      </c>
      <c r="K35" s="54">
        <f t="shared" si="30"/>
        <v>176</v>
      </c>
      <c r="L35" s="14">
        <f t="shared" si="6"/>
        <v>2.6734135064122855</v>
      </c>
      <c r="M35" s="7">
        <f t="shared" si="7"/>
        <v>470.52077712856226</v>
      </c>
      <c r="O35" s="15">
        <f t="shared" si="31"/>
        <v>4</v>
      </c>
      <c r="P35" s="7">
        <f t="shared" si="8"/>
        <v>53.95880471657825</v>
      </c>
      <c r="Q35" s="7">
        <f t="shared" si="9"/>
        <v>215.835218866313</v>
      </c>
      <c r="S35" s="15">
        <f t="shared" si="32"/>
        <v>2</v>
      </c>
      <c r="T35" s="7">
        <f t="shared" si="10"/>
        <v>53.95880471657825</v>
      </c>
      <c r="U35" s="7">
        <f t="shared" si="11"/>
        <v>107.9176094331565</v>
      </c>
      <c r="W35" s="14">
        <f t="shared" si="33"/>
        <v>8</v>
      </c>
      <c r="X35" s="7">
        <f t="shared" si="12"/>
        <v>161.87641414973479</v>
      </c>
      <c r="Y35" s="22">
        <f t="shared" si="13"/>
        <v>1295.0113131978783</v>
      </c>
      <c r="AA35" s="7">
        <f t="shared" si="14"/>
        <v>107.62923784833519</v>
      </c>
      <c r="AB35" s="7">
        <f t="shared" si="1"/>
        <v>1358.3923381261195</v>
      </c>
      <c r="AD35" s="7">
        <f t="shared" si="34"/>
        <v>15.4</v>
      </c>
      <c r="AE35" s="7">
        <f t="shared" si="15"/>
        <v>461.26816220715062</v>
      </c>
      <c r="AF35" s="22">
        <f t="shared" si="16"/>
        <v>7103.5296979901195</v>
      </c>
      <c r="AG35" s="7">
        <f t="shared" si="35"/>
        <v>32</v>
      </c>
      <c r="AH35" s="7">
        <f t="shared" si="17"/>
        <v>115.31704055178766</v>
      </c>
      <c r="AI35" s="22">
        <f t="shared" si="18"/>
        <v>3690.145297657205</v>
      </c>
      <c r="AJ35" s="22">
        <f t="shared" si="2"/>
        <v>10793.674995647325</v>
      </c>
      <c r="AL35" s="15">
        <f t="shared" si="36"/>
        <v>0.5</v>
      </c>
      <c r="AM35" s="7">
        <f t="shared" si="19"/>
        <v>234.20818585820291</v>
      </c>
      <c r="AN35" s="7">
        <f t="shared" si="20"/>
        <v>117.10409292910145</v>
      </c>
      <c r="AP35" s="7">
        <f t="shared" si="37"/>
        <v>36</v>
      </c>
      <c r="AQ35" s="7">
        <f t="shared" si="21"/>
        <v>54.351813869423509</v>
      </c>
      <c r="AR35" s="22">
        <f t="shared" si="22"/>
        <v>1956.6652992992463</v>
      </c>
      <c r="AS35" s="7">
        <f t="shared" si="38"/>
        <v>60</v>
      </c>
      <c r="AT35" s="7">
        <f t="shared" si="23"/>
        <v>54.351813869423509</v>
      </c>
      <c r="AU35" s="22">
        <f t="shared" si="24"/>
        <v>3261.1088321654106</v>
      </c>
      <c r="AV35" s="22">
        <f t="shared" si="25"/>
        <v>5217.7741314646573</v>
      </c>
      <c r="AX35" s="7">
        <f t="shared" si="39"/>
        <v>231</v>
      </c>
      <c r="AY35" s="7">
        <f t="shared" si="26"/>
        <v>54.351813869423509</v>
      </c>
      <c r="AZ35" s="22">
        <f t="shared" si="40"/>
        <v>12555.269003836831</v>
      </c>
      <c r="BB35" s="7">
        <f t="shared" si="41"/>
        <v>62.221700727813491</v>
      </c>
      <c r="BD35" s="22">
        <f t="shared" si="3"/>
        <v>32193.721181357756</v>
      </c>
      <c r="BF35" s="22">
        <f t="shared" si="4"/>
        <v>57380.509862180377</v>
      </c>
      <c r="BH35" s="15">
        <f t="shared" si="27"/>
        <v>4.4096463166528022</v>
      </c>
      <c r="BJ35" s="7">
        <f>+'Almonds Margin - Alter.Ex.Rate'!BN35</f>
        <v>303.76091984033587</v>
      </c>
      <c r="BK35" s="7">
        <f>+'Almonds Margin - Alter.Ex.Rate'!BO35</f>
        <v>342.53720918596713</v>
      </c>
      <c r="BL35" s="7">
        <f>+'Almonds Margin - Alter.Ex.Rate'!BP35</f>
        <v>74.625447083007742</v>
      </c>
      <c r="BM35" s="7">
        <f>+'Almonds Margin - Alter.Ex.Rate'!BQ35</f>
        <v>107.58513225901996</v>
      </c>
    </row>
    <row r="36" spans="1:65" x14ac:dyDescent="0.2">
      <c r="A36" s="8">
        <f t="shared" si="5"/>
        <v>2050</v>
      </c>
      <c r="B36" s="22">
        <f>+'Grapes Margin - Baseline'!B36</f>
        <v>3494.9143520013477</v>
      </c>
      <c r="C36" s="22">
        <f t="shared" si="28"/>
        <v>7324.3287213837984</v>
      </c>
      <c r="E36" s="15">
        <f t="shared" si="42"/>
        <v>12.167290049282343</v>
      </c>
      <c r="F36" s="15">
        <f t="shared" si="42"/>
        <v>12.575588373083763</v>
      </c>
      <c r="H36" s="22">
        <f t="shared" si="0"/>
        <v>42523.636618200042</v>
      </c>
      <c r="I36" s="22">
        <f t="shared" si="0"/>
        <v>92107.743109277551</v>
      </c>
      <c r="K36" s="54">
        <f t="shared" si="30"/>
        <v>176</v>
      </c>
      <c r="L36" s="14">
        <f t="shared" si="6"/>
        <v>2.6734135064122855</v>
      </c>
      <c r="M36" s="7">
        <f t="shared" si="7"/>
        <v>470.52077712856226</v>
      </c>
      <c r="O36" s="15">
        <f t="shared" si="31"/>
        <v>4</v>
      </c>
      <c r="P36" s="7">
        <f t="shared" si="8"/>
        <v>53.95880471657825</v>
      </c>
      <c r="Q36" s="7">
        <f t="shared" si="9"/>
        <v>215.835218866313</v>
      </c>
      <c r="S36" s="15">
        <f t="shared" si="32"/>
        <v>2</v>
      </c>
      <c r="T36" s="7">
        <f t="shared" si="10"/>
        <v>53.95880471657825</v>
      </c>
      <c r="U36" s="7">
        <f t="shared" si="11"/>
        <v>107.9176094331565</v>
      </c>
      <c r="W36" s="14">
        <f t="shared" si="33"/>
        <v>8</v>
      </c>
      <c r="X36" s="7">
        <f t="shared" si="12"/>
        <v>161.87641414973479</v>
      </c>
      <c r="Y36" s="22">
        <f t="shared" si="13"/>
        <v>1295.0113131978783</v>
      </c>
      <c r="AA36" s="7">
        <f t="shared" si="14"/>
        <v>109.35130565390855</v>
      </c>
      <c r="AB36" s="7">
        <f t="shared" si="1"/>
        <v>1375.1570079628211</v>
      </c>
      <c r="AD36" s="7">
        <f t="shared" si="34"/>
        <v>15.4</v>
      </c>
      <c r="AE36" s="7">
        <f t="shared" si="15"/>
        <v>468.64845280246504</v>
      </c>
      <c r="AF36" s="22">
        <f t="shared" si="16"/>
        <v>7217.186173157962</v>
      </c>
      <c r="AG36" s="7">
        <f t="shared" si="35"/>
        <v>32</v>
      </c>
      <c r="AH36" s="7">
        <f t="shared" si="17"/>
        <v>117.16211320061626</v>
      </c>
      <c r="AI36" s="22">
        <f t="shared" si="18"/>
        <v>3749.1876224197204</v>
      </c>
      <c r="AJ36" s="22">
        <f t="shared" si="2"/>
        <v>10966.373795577681</v>
      </c>
      <c r="AL36" s="15">
        <f t="shared" si="36"/>
        <v>0.5</v>
      </c>
      <c r="AM36" s="7">
        <f t="shared" si="19"/>
        <v>241.70284780566539</v>
      </c>
      <c r="AN36" s="7">
        <f t="shared" si="20"/>
        <v>120.85142390283269</v>
      </c>
      <c r="AP36" s="7">
        <f t="shared" si="37"/>
        <v>36</v>
      </c>
      <c r="AQ36" s="7">
        <f t="shared" si="21"/>
        <v>56.091071913245059</v>
      </c>
      <c r="AR36" s="22">
        <f t="shared" si="22"/>
        <v>2019.2785888768221</v>
      </c>
      <c r="AS36" s="7">
        <f t="shared" si="38"/>
        <v>60</v>
      </c>
      <c r="AT36" s="7">
        <f t="shared" si="23"/>
        <v>56.091071913245059</v>
      </c>
      <c r="AU36" s="22">
        <f t="shared" si="24"/>
        <v>3365.4643147947036</v>
      </c>
      <c r="AV36" s="22">
        <f t="shared" si="25"/>
        <v>5384.7429036715257</v>
      </c>
      <c r="AX36" s="7">
        <f t="shared" si="39"/>
        <v>231</v>
      </c>
      <c r="AY36" s="7">
        <f t="shared" si="26"/>
        <v>56.091071913245059</v>
      </c>
      <c r="AZ36" s="22">
        <f t="shared" si="40"/>
        <v>12957.037611959609</v>
      </c>
      <c r="BB36" s="7">
        <f t="shared" si="41"/>
        <v>61.99765067930295</v>
      </c>
      <c r="BD36" s="22">
        <f t="shared" si="3"/>
        <v>32955.445312379685</v>
      </c>
      <c r="BF36" s="22">
        <f t="shared" si="4"/>
        <v>59152.297796897867</v>
      </c>
      <c r="BH36" s="15">
        <f t="shared" si="27"/>
        <v>4.3751234678939097</v>
      </c>
      <c r="BJ36" s="7">
        <f>+'Almonds Margin - Alter.Ex.Rate'!BN36</f>
        <v>313.48126927522662</v>
      </c>
      <c r="BK36" s="7">
        <f>+'Almonds Margin - Alter.Ex.Rate'!BO36</f>
        <v>353.49839987991805</v>
      </c>
      <c r="BL36" s="7">
        <f>+'Almonds Margin - Alter.Ex.Rate'!BP36</f>
        <v>74.625447083007742</v>
      </c>
      <c r="BM36" s="7">
        <f>+'Almonds Margin - Alter.Ex.Rate'!BQ36</f>
        <v>107.58513225901996</v>
      </c>
    </row>
    <row r="37" spans="1:65" x14ac:dyDescent="0.2">
      <c r="A37" s="8">
        <f t="shared" si="5"/>
        <v>2051</v>
      </c>
      <c r="B37" s="22">
        <f>+'Grapes Margin - Baseline'!B37</f>
        <v>3494.9143520013477</v>
      </c>
      <c r="C37" s="22">
        <f t="shared" si="28"/>
        <v>7558.7072404680803</v>
      </c>
      <c r="E37" s="15">
        <f t="shared" si="42"/>
        <v>12.123477651133525</v>
      </c>
      <c r="F37" s="15">
        <f t="shared" si="42"/>
        <v>12.530305760231965</v>
      </c>
      <c r="H37" s="22">
        <f t="shared" si="0"/>
        <v>42370.516039114147</v>
      </c>
      <c r="I37" s="22">
        <f t="shared" si="0"/>
        <v>94712.912875144248</v>
      </c>
      <c r="K37" s="54">
        <f t="shared" si="30"/>
        <v>176</v>
      </c>
      <c r="L37" s="14">
        <f t="shared" si="6"/>
        <v>2.6734135064122855</v>
      </c>
      <c r="M37" s="7">
        <f t="shared" si="7"/>
        <v>470.52077712856226</v>
      </c>
      <c r="O37" s="15">
        <f t="shared" si="31"/>
        <v>4</v>
      </c>
      <c r="P37" s="7">
        <f t="shared" si="8"/>
        <v>53.95880471657825</v>
      </c>
      <c r="Q37" s="7">
        <f t="shared" si="9"/>
        <v>215.835218866313</v>
      </c>
      <c r="S37" s="15">
        <f t="shared" si="32"/>
        <v>2</v>
      </c>
      <c r="T37" s="7">
        <f t="shared" si="10"/>
        <v>53.95880471657825</v>
      </c>
      <c r="U37" s="7">
        <f t="shared" si="11"/>
        <v>107.9176094331565</v>
      </c>
      <c r="W37" s="14">
        <f t="shared" si="33"/>
        <v>8</v>
      </c>
      <c r="X37" s="7">
        <f t="shared" si="12"/>
        <v>161.87641414973479</v>
      </c>
      <c r="Y37" s="22">
        <f t="shared" si="13"/>
        <v>1295.0113131978783</v>
      </c>
      <c r="AA37" s="7">
        <f t="shared" si="14"/>
        <v>111.10092654437109</v>
      </c>
      <c r="AB37" s="7">
        <f t="shared" si="1"/>
        <v>1392.1285798460415</v>
      </c>
      <c r="AD37" s="7">
        <f t="shared" si="34"/>
        <v>15.4</v>
      </c>
      <c r="AE37" s="7">
        <f t="shared" si="15"/>
        <v>476.1468280473045</v>
      </c>
      <c r="AF37" s="22">
        <f t="shared" si="16"/>
        <v>7332.6611519284897</v>
      </c>
      <c r="AG37" s="7">
        <f t="shared" si="35"/>
        <v>32</v>
      </c>
      <c r="AH37" s="7">
        <f t="shared" si="17"/>
        <v>119.03670701182612</v>
      </c>
      <c r="AI37" s="22">
        <f t="shared" si="18"/>
        <v>3809.174624378436</v>
      </c>
      <c r="AJ37" s="22">
        <f t="shared" si="2"/>
        <v>11141.835776306925</v>
      </c>
      <c r="AL37" s="15">
        <f t="shared" si="36"/>
        <v>0.5</v>
      </c>
      <c r="AM37" s="7">
        <f t="shared" si="19"/>
        <v>249.43733893544669</v>
      </c>
      <c r="AN37" s="7">
        <f t="shared" si="20"/>
        <v>124.71866946772334</v>
      </c>
      <c r="AP37" s="7">
        <f t="shared" si="37"/>
        <v>36</v>
      </c>
      <c r="AQ37" s="7">
        <f t="shared" si="21"/>
        <v>57.8859862144689</v>
      </c>
      <c r="AR37" s="22">
        <f t="shared" si="22"/>
        <v>2083.8955037208802</v>
      </c>
      <c r="AS37" s="7">
        <f t="shared" si="38"/>
        <v>60</v>
      </c>
      <c r="AT37" s="7">
        <f t="shared" si="23"/>
        <v>57.8859862144689</v>
      </c>
      <c r="AU37" s="22">
        <f t="shared" si="24"/>
        <v>3473.1591728681342</v>
      </c>
      <c r="AV37" s="22">
        <f t="shared" si="25"/>
        <v>5557.054676589014</v>
      </c>
      <c r="AX37" s="7">
        <f t="shared" si="39"/>
        <v>231</v>
      </c>
      <c r="AY37" s="7">
        <f t="shared" si="26"/>
        <v>57.8859862144689</v>
      </c>
      <c r="AZ37" s="22">
        <f t="shared" si="40"/>
        <v>13371.662815542317</v>
      </c>
      <c r="BB37" s="7">
        <f t="shared" si="41"/>
        <v>61.774407397943584</v>
      </c>
      <c r="BD37" s="22">
        <f t="shared" si="3"/>
        <v>33738.459843775869</v>
      </c>
      <c r="BF37" s="22">
        <f t="shared" si="4"/>
        <v>60974.453031368379</v>
      </c>
      <c r="BH37" s="15">
        <f t="shared" si="27"/>
        <v>4.3413024024258027</v>
      </c>
      <c r="BJ37" s="7">
        <f>+'Almonds Margin - Alter.Ex.Rate'!BN37</f>
        <v>323.5126698920339</v>
      </c>
      <c r="BK37" s="7">
        <f>+'Almonds Margin - Alter.Ex.Rate'!BO37</f>
        <v>364.81034867607542</v>
      </c>
      <c r="BL37" s="7">
        <f>+'Almonds Margin - Alter.Ex.Rate'!BP37</f>
        <v>74.625447083007742</v>
      </c>
      <c r="BM37" s="7">
        <f>+'Almonds Margin - Alter.Ex.Rate'!BQ37</f>
        <v>107.58513225901996</v>
      </c>
    </row>
    <row r="38" spans="1:65" x14ac:dyDescent="0.2">
      <c r="A38" s="8">
        <f t="shared" si="5"/>
        <v>2052</v>
      </c>
      <c r="B38" s="22">
        <f>+'Grapes Margin - Baseline'!B38</f>
        <v>3494.9143520013477</v>
      </c>
      <c r="C38" s="22">
        <f t="shared" si="28"/>
        <v>7800.5858721630593</v>
      </c>
      <c r="E38" s="15">
        <f t="shared" si="42"/>
        <v>12.079823014180814</v>
      </c>
      <c r="F38" s="15">
        <f t="shared" si="42"/>
        <v>12.485186202576143</v>
      </c>
      <c r="H38" s="22">
        <f t="shared" si="0"/>
        <v>42217.946821896709</v>
      </c>
      <c r="I38" s="22">
        <f t="shared" si="0"/>
        <v>97391.767103140621</v>
      </c>
      <c r="K38" s="54">
        <f t="shared" si="30"/>
        <v>176</v>
      </c>
      <c r="L38" s="14">
        <f t="shared" si="6"/>
        <v>2.6734135064122855</v>
      </c>
      <c r="M38" s="7">
        <f t="shared" si="7"/>
        <v>470.52077712856226</v>
      </c>
      <c r="O38" s="15">
        <f t="shared" si="31"/>
        <v>4</v>
      </c>
      <c r="P38" s="7">
        <f t="shared" si="8"/>
        <v>53.95880471657825</v>
      </c>
      <c r="Q38" s="7">
        <f t="shared" si="9"/>
        <v>215.835218866313</v>
      </c>
      <c r="S38" s="15">
        <f t="shared" si="32"/>
        <v>2</v>
      </c>
      <c r="T38" s="7">
        <f t="shared" si="10"/>
        <v>53.95880471657825</v>
      </c>
      <c r="U38" s="7">
        <f t="shared" si="11"/>
        <v>107.9176094331565</v>
      </c>
      <c r="W38" s="14">
        <f t="shared" si="33"/>
        <v>8</v>
      </c>
      <c r="X38" s="7">
        <f t="shared" si="12"/>
        <v>161.87641414973479</v>
      </c>
      <c r="Y38" s="22">
        <f t="shared" si="13"/>
        <v>1295.0113131978783</v>
      </c>
      <c r="AA38" s="7">
        <f t="shared" si="14"/>
        <v>112.87854136908103</v>
      </c>
      <c r="AB38" s="7">
        <f t="shared" si="1"/>
        <v>1409.309607268171</v>
      </c>
      <c r="AD38" s="7">
        <f t="shared" si="34"/>
        <v>15.4</v>
      </c>
      <c r="AE38" s="7">
        <f t="shared" si="15"/>
        <v>483.76517729606138</v>
      </c>
      <c r="AF38" s="22">
        <f t="shared" si="16"/>
        <v>7449.9837303593458</v>
      </c>
      <c r="AG38" s="7">
        <f t="shared" si="35"/>
        <v>32</v>
      </c>
      <c r="AH38" s="7">
        <f t="shared" si="17"/>
        <v>120.94129432401535</v>
      </c>
      <c r="AI38" s="22">
        <f t="shared" si="18"/>
        <v>3870.121418368491</v>
      </c>
      <c r="AJ38" s="22">
        <f t="shared" si="2"/>
        <v>11320.105148727836</v>
      </c>
      <c r="AL38" s="15">
        <f t="shared" si="36"/>
        <v>0.5</v>
      </c>
      <c r="AM38" s="7">
        <f t="shared" si="19"/>
        <v>257.419333781381</v>
      </c>
      <c r="AN38" s="7">
        <f t="shared" si="20"/>
        <v>128.7096668906905</v>
      </c>
      <c r="AP38" s="7">
        <f t="shared" si="37"/>
        <v>36</v>
      </c>
      <c r="AQ38" s="7">
        <f t="shared" si="21"/>
        <v>59.738337773331899</v>
      </c>
      <c r="AR38" s="22">
        <f t="shared" si="22"/>
        <v>2150.5801598399485</v>
      </c>
      <c r="AS38" s="7">
        <f t="shared" si="38"/>
        <v>60</v>
      </c>
      <c r="AT38" s="7">
        <f t="shared" si="23"/>
        <v>59.738337773331899</v>
      </c>
      <c r="AU38" s="22">
        <f t="shared" si="24"/>
        <v>3584.3002663999141</v>
      </c>
      <c r="AV38" s="22">
        <f t="shared" si="25"/>
        <v>5734.8804262398626</v>
      </c>
      <c r="AX38" s="7">
        <f t="shared" si="39"/>
        <v>231</v>
      </c>
      <c r="AY38" s="7">
        <f t="shared" si="26"/>
        <v>59.738337773331899</v>
      </c>
      <c r="AZ38" s="22">
        <f t="shared" si="40"/>
        <v>13799.556025639669</v>
      </c>
      <c r="BB38" s="7">
        <f t="shared" si="41"/>
        <v>61.551967978700382</v>
      </c>
      <c r="BD38" s="22">
        <f t="shared" si="3"/>
        <v>34543.397761370841</v>
      </c>
      <c r="BF38" s="22">
        <f t="shared" si="4"/>
        <v>62848.36934176978</v>
      </c>
      <c r="BH38" s="15">
        <f t="shared" si="27"/>
        <v>4.3081668690765866</v>
      </c>
      <c r="BJ38" s="7">
        <f>+'Almonds Margin - Alter.Ex.Rate'!BN38</f>
        <v>333.865075328579</v>
      </c>
      <c r="BK38" s="7">
        <f>+'Almonds Margin - Alter.Ex.Rate'!BO38</f>
        <v>376.48427983370982</v>
      </c>
      <c r="BL38" s="7">
        <f>+'Almonds Margin - Alter.Ex.Rate'!BP38</f>
        <v>74.625447083007742</v>
      </c>
      <c r="BM38" s="7">
        <f>+'Almonds Margin - Alter.Ex.Rate'!BQ38</f>
        <v>107.58513225901996</v>
      </c>
    </row>
    <row r="39" spans="1:65" x14ac:dyDescent="0.2">
      <c r="A39" s="8">
        <f t="shared" si="5"/>
        <v>2053</v>
      </c>
      <c r="B39" s="22">
        <f>+'Grapes Margin - Baseline'!B39</f>
        <v>3494.9143520013477</v>
      </c>
      <c r="C39" s="22">
        <f t="shared" si="28"/>
        <v>8050.2046200722762</v>
      </c>
      <c r="E39" s="15">
        <f t="shared" ref="E39:F40" si="43">E38*((E$41/E$21)^(1/($A$41-$A$21)))</f>
        <v>12.036325570352247</v>
      </c>
      <c r="F39" s="15">
        <f t="shared" si="43"/>
        <v>12.440229112981518</v>
      </c>
      <c r="H39" s="22">
        <f t="shared" si="0"/>
        <v>42065.926981184872</v>
      </c>
      <c r="I39" s="22">
        <f t="shared" si="0"/>
        <v>100146.38988008145</v>
      </c>
      <c r="K39" s="54">
        <f t="shared" si="30"/>
        <v>176</v>
      </c>
      <c r="L39" s="14">
        <f t="shared" si="6"/>
        <v>2.6734135064122855</v>
      </c>
      <c r="M39" s="7">
        <f t="shared" si="7"/>
        <v>470.52077712856226</v>
      </c>
      <c r="O39" s="15">
        <f t="shared" si="31"/>
        <v>4</v>
      </c>
      <c r="P39" s="7">
        <f t="shared" si="8"/>
        <v>53.95880471657825</v>
      </c>
      <c r="Q39" s="7">
        <f t="shared" si="9"/>
        <v>215.835218866313</v>
      </c>
      <c r="S39" s="15">
        <f t="shared" si="32"/>
        <v>2</v>
      </c>
      <c r="T39" s="7">
        <f t="shared" si="10"/>
        <v>53.95880471657825</v>
      </c>
      <c r="U39" s="7">
        <f t="shared" si="11"/>
        <v>107.9176094331565</v>
      </c>
      <c r="W39" s="14">
        <f t="shared" si="33"/>
        <v>8</v>
      </c>
      <c r="X39" s="7">
        <f t="shared" si="12"/>
        <v>161.87641414973479</v>
      </c>
      <c r="Y39" s="22">
        <f t="shared" si="13"/>
        <v>1295.0113131978783</v>
      </c>
      <c r="AA39" s="7">
        <f t="shared" si="14"/>
        <v>114.68459803098634</v>
      </c>
      <c r="AB39" s="7">
        <f t="shared" si="1"/>
        <v>1426.7026752356592</v>
      </c>
      <c r="AD39" s="7">
        <f t="shared" si="34"/>
        <v>15.4</v>
      </c>
      <c r="AE39" s="7">
        <f t="shared" si="15"/>
        <v>491.50542013279835</v>
      </c>
      <c r="AF39" s="22">
        <f t="shared" si="16"/>
        <v>7569.1834700450945</v>
      </c>
      <c r="AG39" s="7">
        <f t="shared" si="35"/>
        <v>32</v>
      </c>
      <c r="AH39" s="7">
        <f t="shared" si="17"/>
        <v>122.87635503319959</v>
      </c>
      <c r="AI39" s="22">
        <f t="shared" si="18"/>
        <v>3932.0433610623868</v>
      </c>
      <c r="AJ39" s="22">
        <f t="shared" si="2"/>
        <v>11501.22683110748</v>
      </c>
      <c r="AL39" s="15">
        <f t="shared" si="36"/>
        <v>0.5</v>
      </c>
      <c r="AM39" s="7">
        <f t="shared" si="19"/>
        <v>265.65675246238521</v>
      </c>
      <c r="AN39" s="7">
        <f t="shared" si="20"/>
        <v>132.82837623119261</v>
      </c>
      <c r="AP39" s="7">
        <f t="shared" si="37"/>
        <v>36</v>
      </c>
      <c r="AQ39" s="7">
        <f t="shared" si="21"/>
        <v>61.649964582078518</v>
      </c>
      <c r="AR39" s="22">
        <f t="shared" si="22"/>
        <v>2219.3987249548268</v>
      </c>
      <c r="AS39" s="7">
        <f t="shared" si="38"/>
        <v>60</v>
      </c>
      <c r="AT39" s="7">
        <f t="shared" si="23"/>
        <v>61.649964582078518</v>
      </c>
      <c r="AU39" s="22">
        <f t="shared" si="24"/>
        <v>3698.9978749247111</v>
      </c>
      <c r="AV39" s="22">
        <f t="shared" si="25"/>
        <v>5918.3965998795375</v>
      </c>
      <c r="AX39" s="7">
        <f t="shared" si="39"/>
        <v>231</v>
      </c>
      <c r="AY39" s="7">
        <f t="shared" si="26"/>
        <v>61.649964582078518</v>
      </c>
      <c r="AZ39" s="22">
        <f t="shared" si="40"/>
        <v>14241.141818460137</v>
      </c>
      <c r="BB39" s="7">
        <f t="shared" si="41"/>
        <v>61.330329526998881</v>
      </c>
      <c r="BD39" s="22">
        <f t="shared" si="3"/>
        <v>35370.911549066921</v>
      </c>
      <c r="BF39" s="22">
        <f t="shared" si="4"/>
        <v>64775.478331014529</v>
      </c>
      <c r="BH39" s="15">
        <f t="shared" si="27"/>
        <v>4.2757010456232418</v>
      </c>
      <c r="BJ39" s="7">
        <f>+'Almonds Margin - Alter.Ex.Rate'!BN39</f>
        <v>344.5487577390935</v>
      </c>
      <c r="BK39" s="7">
        <f>+'Almonds Margin - Alter.Ex.Rate'!BO39</f>
        <v>388.53177678838853</v>
      </c>
      <c r="BL39" s="7">
        <f>+'Almonds Margin - Alter.Ex.Rate'!BP39</f>
        <v>74.625447083007742</v>
      </c>
      <c r="BM39" s="7">
        <f>+'Almonds Margin - Alter.Ex.Rate'!BQ39</f>
        <v>107.58513225901996</v>
      </c>
    </row>
    <row r="40" spans="1:65" x14ac:dyDescent="0.2">
      <c r="A40" s="8">
        <f t="shared" si="5"/>
        <v>2054</v>
      </c>
      <c r="B40" s="22">
        <f>+'Grapes Margin - Baseline'!B40</f>
        <v>3494.9143520013477</v>
      </c>
      <c r="C40" s="22">
        <f t="shared" si="28"/>
        <v>8307.8111679145895</v>
      </c>
      <c r="E40" s="15">
        <f t="shared" si="43"/>
        <v>11.992984753621394</v>
      </c>
      <c r="F40" s="15">
        <f t="shared" si="43"/>
        <v>12.395433906427483</v>
      </c>
      <c r="H40" s="22">
        <f t="shared" si="0"/>
        <v>41914.454538764759</v>
      </c>
      <c r="I40" s="22">
        <f t="shared" si="0"/>
        <v>102978.92423896541</v>
      </c>
      <c r="K40" s="54">
        <f t="shared" si="30"/>
        <v>176</v>
      </c>
      <c r="L40" s="14">
        <f t="shared" si="6"/>
        <v>2.6734135064122855</v>
      </c>
      <c r="M40" s="7">
        <f t="shared" si="7"/>
        <v>470.52077712856226</v>
      </c>
      <c r="O40" s="15">
        <f t="shared" si="31"/>
        <v>4</v>
      </c>
      <c r="P40" s="7">
        <f t="shared" si="8"/>
        <v>53.95880471657825</v>
      </c>
      <c r="Q40" s="7">
        <f t="shared" si="9"/>
        <v>215.835218866313</v>
      </c>
      <c r="S40" s="15">
        <f t="shared" si="32"/>
        <v>2</v>
      </c>
      <c r="T40" s="7">
        <f t="shared" si="10"/>
        <v>53.95880471657825</v>
      </c>
      <c r="U40" s="7">
        <f t="shared" si="11"/>
        <v>107.9176094331565</v>
      </c>
      <c r="W40" s="14">
        <f t="shared" si="33"/>
        <v>8</v>
      </c>
      <c r="X40" s="7">
        <f t="shared" si="12"/>
        <v>161.87641414973479</v>
      </c>
      <c r="Y40" s="22">
        <f t="shared" si="13"/>
        <v>1295.0113131978783</v>
      </c>
      <c r="AA40" s="7">
        <f t="shared" si="14"/>
        <v>116.51955159948211</v>
      </c>
      <c r="AB40" s="7">
        <f t="shared" si="1"/>
        <v>1444.3104006579472</v>
      </c>
      <c r="AD40" s="7">
        <f t="shared" si="34"/>
        <v>15.4</v>
      </c>
      <c r="AE40" s="7">
        <f t="shared" si="15"/>
        <v>499.36950685492315</v>
      </c>
      <c r="AF40" s="22">
        <f t="shared" si="16"/>
        <v>7690.2904055658164</v>
      </c>
      <c r="AG40" s="7">
        <f t="shared" si="35"/>
        <v>32</v>
      </c>
      <c r="AH40" s="7">
        <f t="shared" si="17"/>
        <v>124.84237671373079</v>
      </c>
      <c r="AI40" s="22">
        <f t="shared" si="18"/>
        <v>3994.9560548393852</v>
      </c>
      <c r="AJ40" s="22">
        <f t="shared" si="2"/>
        <v>11685.246460405202</v>
      </c>
      <c r="AL40" s="15">
        <f t="shared" si="36"/>
        <v>0.5</v>
      </c>
      <c r="AM40" s="7">
        <f t="shared" si="19"/>
        <v>274.15776854118155</v>
      </c>
      <c r="AN40" s="7">
        <f t="shared" si="20"/>
        <v>137.07888427059078</v>
      </c>
      <c r="AP40" s="7">
        <f t="shared" si="37"/>
        <v>36</v>
      </c>
      <c r="AQ40" s="7">
        <f t="shared" si="21"/>
        <v>63.622763448705037</v>
      </c>
      <c r="AR40" s="22">
        <f t="shared" si="22"/>
        <v>2290.4194841533813</v>
      </c>
      <c r="AS40" s="7">
        <f t="shared" si="38"/>
        <v>60</v>
      </c>
      <c r="AT40" s="7">
        <f t="shared" si="23"/>
        <v>63.622763448705037</v>
      </c>
      <c r="AU40" s="22">
        <f t="shared" si="24"/>
        <v>3817.365806922302</v>
      </c>
      <c r="AV40" s="22">
        <f t="shared" si="25"/>
        <v>6107.7852910756828</v>
      </c>
      <c r="AX40" s="7">
        <f t="shared" si="39"/>
        <v>231</v>
      </c>
      <c r="AY40" s="7">
        <f t="shared" si="26"/>
        <v>63.622763448705037</v>
      </c>
      <c r="AZ40" s="22">
        <f t="shared" si="40"/>
        <v>14696.858356650864</v>
      </c>
      <c r="BB40" s="7">
        <f t="shared" si="41"/>
        <v>61.109489158687488</v>
      </c>
      <c r="BD40" s="22">
        <f t="shared" si="3"/>
        <v>36221.673800844888</v>
      </c>
      <c r="BF40" s="22">
        <f t="shared" si="4"/>
        <v>66757.250438120522</v>
      </c>
      <c r="BH40" s="15">
        <f t="shared" si="27"/>
        <v>4.2438895261128264</v>
      </c>
      <c r="BJ40" s="7">
        <f>+'Almonds Margin - Alter.Ex.Rate'!BN40</f>
        <v>355.57431798674452</v>
      </c>
      <c r="BK40" s="7">
        <f>+'Almonds Margin - Alter.Ex.Rate'!BO40</f>
        <v>400.96479364561696</v>
      </c>
      <c r="BL40" s="7">
        <f>+'Almonds Margin - Alter.Ex.Rate'!BP40</f>
        <v>74.625447083007742</v>
      </c>
      <c r="BM40" s="7">
        <f>+'Almonds Margin - Alter.Ex.Rate'!BQ40</f>
        <v>107.58513225901996</v>
      </c>
    </row>
    <row r="41" spans="1:65" x14ac:dyDescent="0.2">
      <c r="A41" s="8">
        <f t="shared" si="5"/>
        <v>2055</v>
      </c>
      <c r="B41" s="22">
        <f>+'Grapes Margin - Baseline'!B41</f>
        <v>3494.9143520013477</v>
      </c>
      <c r="C41" s="22">
        <f t="shared" si="28"/>
        <v>8573.6611252878574</v>
      </c>
      <c r="E41" s="15">
        <f>+E7*'Grapes Margin - Baseline'!E41/'Grapes Margin - Baseline'!E7</f>
        <v>11.949800000000002</v>
      </c>
      <c r="F41" s="15">
        <f>+F7*E41/E7</f>
        <v>12.350800000000001</v>
      </c>
      <c r="H41" s="22">
        <f t="shared" si="0"/>
        <v>41763.527523545708</v>
      </c>
      <c r="I41" s="22">
        <f t="shared" si="0"/>
        <v>105891.57382620528</v>
      </c>
      <c r="K41" s="54">
        <f t="shared" si="30"/>
        <v>176</v>
      </c>
      <c r="L41" s="14">
        <f t="shared" si="6"/>
        <v>2.6734135064122855</v>
      </c>
      <c r="M41" s="7">
        <f t="shared" si="7"/>
        <v>470.52077712856226</v>
      </c>
      <c r="O41" s="15">
        <f t="shared" si="31"/>
        <v>4</v>
      </c>
      <c r="P41" s="7">
        <f t="shared" si="8"/>
        <v>53.95880471657825</v>
      </c>
      <c r="Q41" s="7">
        <f t="shared" si="9"/>
        <v>215.835218866313</v>
      </c>
      <c r="S41" s="15">
        <f t="shared" si="32"/>
        <v>2</v>
      </c>
      <c r="T41" s="7">
        <f t="shared" si="10"/>
        <v>53.95880471657825</v>
      </c>
      <c r="U41" s="7">
        <f t="shared" si="11"/>
        <v>107.9176094331565</v>
      </c>
      <c r="W41" s="14">
        <f t="shared" si="33"/>
        <v>8</v>
      </c>
      <c r="X41" s="7">
        <f t="shared" si="12"/>
        <v>161.87641414973479</v>
      </c>
      <c r="Y41" s="22">
        <f t="shared" si="13"/>
        <v>1295.0113131978783</v>
      </c>
      <c r="AA41" s="7">
        <f t="shared" si="14"/>
        <v>118.38386442507382</v>
      </c>
      <c r="AB41" s="7">
        <f t="shared" si="1"/>
        <v>1462.1354327412018</v>
      </c>
      <c r="AD41" s="7">
        <f t="shared" si="34"/>
        <v>15.4</v>
      </c>
      <c r="AE41" s="7">
        <f t="shared" si="15"/>
        <v>507.3594189646019</v>
      </c>
      <c r="AF41" s="22">
        <f t="shared" si="16"/>
        <v>7813.3350520548693</v>
      </c>
      <c r="AG41" s="7">
        <f t="shared" si="35"/>
        <v>32</v>
      </c>
      <c r="AH41" s="7">
        <f t="shared" si="17"/>
        <v>126.83985474115048</v>
      </c>
      <c r="AI41" s="22">
        <f t="shared" si="18"/>
        <v>4058.8753517168152</v>
      </c>
      <c r="AJ41" s="22">
        <f t="shared" si="2"/>
        <v>11872.210403771685</v>
      </c>
      <c r="AL41" s="15">
        <f t="shared" si="36"/>
        <v>0.5</v>
      </c>
      <c r="AM41" s="7">
        <f t="shared" si="19"/>
        <v>282.93081713449936</v>
      </c>
      <c r="AN41" s="7">
        <f t="shared" si="20"/>
        <v>141.46540856724968</v>
      </c>
      <c r="AP41" s="7">
        <f t="shared" si="37"/>
        <v>36</v>
      </c>
      <c r="AQ41" s="7">
        <f t="shared" si="21"/>
        <v>65.658691879063596</v>
      </c>
      <c r="AR41" s="22">
        <f t="shared" si="22"/>
        <v>2363.7129076462893</v>
      </c>
      <c r="AS41" s="7">
        <f t="shared" si="38"/>
        <v>60</v>
      </c>
      <c r="AT41" s="7">
        <f t="shared" si="23"/>
        <v>65.658691879063596</v>
      </c>
      <c r="AU41" s="22">
        <f t="shared" si="24"/>
        <v>3939.5215127438159</v>
      </c>
      <c r="AV41" s="22">
        <f t="shared" si="25"/>
        <v>6303.2344203901048</v>
      </c>
      <c r="AX41" s="7">
        <f t="shared" si="39"/>
        <v>231</v>
      </c>
      <c r="AY41" s="7">
        <f t="shared" si="26"/>
        <v>65.658691879063596</v>
      </c>
      <c r="AZ41" s="22">
        <f t="shared" si="40"/>
        <v>15167.15782406369</v>
      </c>
      <c r="BB41" s="7">
        <f t="shared" si="41"/>
        <v>60.889444000000005</v>
      </c>
      <c r="BD41" s="22">
        <f t="shared" si="3"/>
        <v>37096.377852159843</v>
      </c>
      <c r="BF41" s="22">
        <f t="shared" si="4"/>
        <v>68795.195974045433</v>
      </c>
      <c r="BH41" s="15">
        <f t="shared" si="27"/>
        <v>4.2127173085958072</v>
      </c>
      <c r="BJ41" s="7">
        <f>+'Almonds Margin - Alter.Ex.Rate'!BN41</f>
        <v>366.95269616232036</v>
      </c>
      <c r="BK41" s="7">
        <f>+'Almonds Margin - Alter.Ex.Rate'!BO41</f>
        <v>413.7956670422767</v>
      </c>
      <c r="BL41" s="7">
        <f>+'Almonds Margin - Alter.Ex.Rate'!BP41</f>
        <v>74.625447083007742</v>
      </c>
      <c r="BM41" s="7">
        <f>+'Almonds Margin - Alter.Ex.Rate'!BQ41</f>
        <v>107.58513225901996</v>
      </c>
    </row>
    <row r="42" spans="1:65" x14ac:dyDescent="0.2">
      <c r="A42" s="8"/>
      <c r="E42" s="14"/>
      <c r="F42" s="29"/>
      <c r="BB42" s="7"/>
    </row>
  </sheetData>
  <mergeCells count="47">
    <mergeCell ref="E6:F6"/>
    <mergeCell ref="H6:I6"/>
    <mergeCell ref="BJ6:BM6"/>
    <mergeCell ref="AX5:AX6"/>
    <mergeCell ref="AY5:AY6"/>
    <mergeCell ref="AZ5:AZ6"/>
    <mergeCell ref="BD5:BD6"/>
    <mergeCell ref="BF5:BF6"/>
    <mergeCell ref="BH5:BH6"/>
    <mergeCell ref="AL5:AL6"/>
    <mergeCell ref="AM5:AM6"/>
    <mergeCell ref="AN5:AN6"/>
    <mergeCell ref="AP5:AR5"/>
    <mergeCell ref="AS5:AU5"/>
    <mergeCell ref="AV5:AV6"/>
    <mergeCell ref="Y5:Y6"/>
    <mergeCell ref="Q5:Q6"/>
    <mergeCell ref="S5:S6"/>
    <mergeCell ref="T5:T6"/>
    <mergeCell ref="U5:U6"/>
    <mergeCell ref="W5:W6"/>
    <mergeCell ref="X5:X6"/>
    <mergeCell ref="AA4:AB4"/>
    <mergeCell ref="AD4:AJ4"/>
    <mergeCell ref="AL4:AN4"/>
    <mergeCell ref="AP4:AV4"/>
    <mergeCell ref="AA5:AA6"/>
    <mergeCell ref="AB5:AB6"/>
    <mergeCell ref="AD5:AF5"/>
    <mergeCell ref="AG5:AI5"/>
    <mergeCell ref="AJ5:AJ6"/>
    <mergeCell ref="K5:K6"/>
    <mergeCell ref="L5:L6"/>
    <mergeCell ref="M5:M6"/>
    <mergeCell ref="O5:O6"/>
    <mergeCell ref="P5:P6"/>
    <mergeCell ref="B3:H3"/>
    <mergeCell ref="K3:BD3"/>
    <mergeCell ref="BJ3:BM3"/>
    <mergeCell ref="B4:C4"/>
    <mergeCell ref="E4:F4"/>
    <mergeCell ref="H4:I4"/>
    <mergeCell ref="K4:M4"/>
    <mergeCell ref="O4:Q4"/>
    <mergeCell ref="S4:U4"/>
    <mergeCell ref="W4:Y4"/>
    <mergeCell ref="AX4:AZ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1"/>
  <dimension ref="A1:BF33"/>
  <sheetViews>
    <sheetView workbookViewId="0"/>
  </sheetViews>
  <sheetFormatPr baseColWidth="10" defaultColWidth="8.83203125" defaultRowHeight="15" x14ac:dyDescent="0.2"/>
  <cols>
    <col min="2" max="3" width="9.1640625" customWidth="1"/>
    <col min="5" max="5" width="12.83203125" bestFit="1" customWidth="1"/>
    <col min="8" max="8" width="15.83203125" bestFit="1" customWidth="1"/>
    <col min="9" max="9" width="11.33203125" bestFit="1" customWidth="1"/>
    <col min="10" max="10" width="11.83203125" customWidth="1"/>
    <col min="12" max="12" width="17.1640625" customWidth="1"/>
    <col min="13" max="13" width="8.5" customWidth="1"/>
    <col min="14" max="14" width="10.5" customWidth="1"/>
    <col min="15" max="15" width="15.83203125" customWidth="1"/>
    <col min="16" max="17" width="0" hidden="1" customWidth="1"/>
    <col min="18" max="18" width="12.83203125" hidden="1" customWidth="1"/>
    <col min="19" max="20" width="0" hidden="1" customWidth="1"/>
    <col min="21" max="21" width="2.5" hidden="1" customWidth="1"/>
    <col min="22" max="22" width="9" bestFit="1" customWidth="1"/>
    <col min="23" max="23" width="8" bestFit="1" customWidth="1"/>
    <col min="24" max="24" width="15.83203125" customWidth="1"/>
    <col min="25" max="25" width="8" bestFit="1" customWidth="1"/>
    <col min="26" max="26" width="12.1640625" customWidth="1"/>
    <col min="28" max="29" width="8.33203125" customWidth="1"/>
    <col min="30" max="30" width="17.1640625" customWidth="1"/>
    <col min="31" max="31" width="8" bestFit="1" customWidth="1"/>
    <col min="32" max="32" width="10" customWidth="1"/>
    <col min="36" max="36" width="11.5" customWidth="1"/>
    <col min="37" max="37" width="8" bestFit="1" customWidth="1"/>
    <col min="38" max="38" width="8.1640625" customWidth="1"/>
    <col min="39" max="39" width="10.5" customWidth="1"/>
    <col min="40" max="41" width="8.33203125" customWidth="1"/>
    <col min="42" max="42" width="20.1640625" customWidth="1"/>
    <col min="43" max="43" width="15.83203125" bestFit="1" customWidth="1"/>
    <col min="44" max="44" width="10.33203125" customWidth="1"/>
    <col min="45" max="45" width="17.83203125" customWidth="1"/>
    <col min="49" max="49" width="11.5" customWidth="1"/>
    <col min="50" max="50" width="7.5" bestFit="1" customWidth="1"/>
    <col min="52" max="52" width="14.5" bestFit="1" customWidth="1"/>
    <col min="53" max="53" width="12.1640625" bestFit="1" customWidth="1"/>
    <col min="54" max="54" width="12.1640625" customWidth="1"/>
    <col min="55" max="55" width="17.33203125" bestFit="1" customWidth="1"/>
    <col min="56" max="56" width="15.83203125" bestFit="1" customWidth="1"/>
    <col min="57" max="57" width="10.5" customWidth="1"/>
    <col min="58" max="58" width="16" customWidth="1"/>
    <col min="59" max="59" width="11.5" customWidth="1"/>
  </cols>
  <sheetData>
    <row r="1" spans="1:58" x14ac:dyDescent="0.2">
      <c r="B1" s="265" t="s">
        <v>106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265"/>
      <c r="U1" s="265"/>
      <c r="V1" s="279" t="s">
        <v>71</v>
      </c>
      <c r="W1" s="279"/>
      <c r="X1" s="279"/>
      <c r="Y1" s="279"/>
      <c r="Z1" s="279"/>
      <c r="AA1" s="279"/>
      <c r="AB1" s="279"/>
      <c r="AC1" s="279"/>
      <c r="AD1" s="279"/>
      <c r="AE1" s="279"/>
      <c r="AF1" s="279"/>
      <c r="AG1" s="279"/>
      <c r="AH1" s="275" t="s">
        <v>118</v>
      </c>
      <c r="AI1" s="275"/>
      <c r="AJ1" s="275"/>
      <c r="AK1" s="275"/>
      <c r="AL1" s="275"/>
      <c r="AM1" s="275"/>
      <c r="AN1" s="275"/>
      <c r="AO1" s="275"/>
      <c r="AP1" s="275"/>
      <c r="AQ1" s="275"/>
      <c r="AR1" s="275"/>
      <c r="AS1" s="275"/>
      <c r="AU1" s="272" t="s">
        <v>116</v>
      </c>
      <c r="AV1" s="272"/>
      <c r="AW1" s="272"/>
      <c r="AX1" s="272"/>
      <c r="AY1" s="272"/>
      <c r="AZ1" s="272"/>
      <c r="BA1" s="272"/>
      <c r="BB1" s="272"/>
      <c r="BC1" s="272"/>
      <c r="BD1" s="272"/>
      <c r="BE1" s="272"/>
      <c r="BF1" s="272"/>
    </row>
    <row r="2" spans="1:58" x14ac:dyDescent="0.2">
      <c r="B2" s="271" t="s">
        <v>119</v>
      </c>
      <c r="C2" s="271"/>
      <c r="D2" s="271"/>
      <c r="E2" s="271"/>
      <c r="F2" s="271"/>
      <c r="G2" s="271"/>
      <c r="H2" s="271"/>
      <c r="I2" s="276" t="s">
        <v>120</v>
      </c>
      <c r="J2" s="277"/>
      <c r="K2" s="277"/>
      <c r="L2" s="277"/>
      <c r="M2" s="277"/>
      <c r="N2" s="277"/>
      <c r="O2" s="277"/>
      <c r="P2" s="278" t="s">
        <v>121</v>
      </c>
      <c r="Q2" s="278"/>
      <c r="R2" s="278"/>
      <c r="S2" s="278"/>
      <c r="T2" s="278"/>
      <c r="U2" s="278"/>
      <c r="V2" s="271" t="s">
        <v>119</v>
      </c>
      <c r="W2" s="271"/>
      <c r="X2" s="271"/>
      <c r="Y2" s="271"/>
      <c r="Z2" s="271"/>
      <c r="AA2" s="271"/>
      <c r="AB2" s="273" t="s">
        <v>122</v>
      </c>
      <c r="AC2" s="274"/>
      <c r="AD2" s="274"/>
      <c r="AE2" s="274"/>
      <c r="AF2" s="274"/>
      <c r="AG2" s="274"/>
      <c r="AH2" s="271" t="s">
        <v>119</v>
      </c>
      <c r="AI2" s="271"/>
      <c r="AJ2" s="271"/>
      <c r="AK2" s="271"/>
      <c r="AL2" s="271"/>
      <c r="AM2" s="271"/>
      <c r="AN2" s="273" t="s">
        <v>120</v>
      </c>
      <c r="AO2" s="274"/>
      <c r="AP2" s="274"/>
      <c r="AQ2" s="274"/>
      <c r="AR2" s="274"/>
      <c r="AS2" s="274"/>
      <c r="AU2" s="271" t="s">
        <v>119</v>
      </c>
      <c r="AV2" s="271"/>
      <c r="AW2" s="271"/>
      <c r="AX2" s="271"/>
      <c r="AY2" s="271"/>
      <c r="AZ2" s="271"/>
      <c r="BA2" s="273" t="s">
        <v>120</v>
      </c>
      <c r="BB2" s="274"/>
      <c r="BC2" s="274"/>
      <c r="BD2" s="274"/>
      <c r="BE2" s="274"/>
      <c r="BF2" s="274"/>
    </row>
    <row r="3" spans="1:58" ht="36.5" customHeight="1" x14ac:dyDescent="0.2">
      <c r="B3" s="1" t="s">
        <v>47</v>
      </c>
      <c r="C3" s="1" t="s">
        <v>7</v>
      </c>
      <c r="D3" s="1" t="s">
        <v>48</v>
      </c>
      <c r="E3" s="1" t="s">
        <v>114</v>
      </c>
      <c r="F3" s="1" t="s">
        <v>1</v>
      </c>
      <c r="G3" s="1" t="s">
        <v>123</v>
      </c>
      <c r="H3" s="1" t="s">
        <v>124</v>
      </c>
      <c r="I3" s="10" t="s">
        <v>125</v>
      </c>
      <c r="J3" s="10" t="s">
        <v>126</v>
      </c>
      <c r="K3" s="1" t="s">
        <v>48</v>
      </c>
      <c r="L3" s="10" t="s">
        <v>127</v>
      </c>
      <c r="M3" s="10" t="s">
        <v>128</v>
      </c>
      <c r="N3" s="10" t="s">
        <v>129</v>
      </c>
      <c r="O3" s="10" t="s">
        <v>130</v>
      </c>
      <c r="P3" s="1" t="s">
        <v>123</v>
      </c>
      <c r="Q3" s="1" t="s">
        <v>124</v>
      </c>
      <c r="R3" s="1" t="s">
        <v>47</v>
      </c>
      <c r="S3" s="1" t="s">
        <v>48</v>
      </c>
      <c r="T3" s="1" t="s">
        <v>114</v>
      </c>
      <c r="U3" s="1" t="s">
        <v>131</v>
      </c>
      <c r="V3" s="1" t="s">
        <v>47</v>
      </c>
      <c r="W3" s="1" t="s">
        <v>48</v>
      </c>
      <c r="X3" s="1" t="s">
        <v>114</v>
      </c>
      <c r="Y3" s="1" t="s">
        <v>1</v>
      </c>
      <c r="Z3" s="1" t="s">
        <v>123</v>
      </c>
      <c r="AA3" s="1" t="s">
        <v>124</v>
      </c>
      <c r="AB3" s="10" t="s">
        <v>125</v>
      </c>
      <c r="AC3" s="10" t="s">
        <v>132</v>
      </c>
      <c r="AD3" s="10" t="s">
        <v>127</v>
      </c>
      <c r="AE3" s="10" t="s">
        <v>133</v>
      </c>
      <c r="AF3" s="10" t="s">
        <v>134</v>
      </c>
      <c r="AG3" s="10" t="s">
        <v>135</v>
      </c>
      <c r="AH3" s="1" t="s">
        <v>47</v>
      </c>
      <c r="AI3" s="1" t="s">
        <v>48</v>
      </c>
      <c r="AJ3" s="1" t="s">
        <v>114</v>
      </c>
      <c r="AK3" s="1" t="s">
        <v>1</v>
      </c>
      <c r="AL3" s="1" t="s">
        <v>123</v>
      </c>
      <c r="AM3" s="10" t="s">
        <v>124</v>
      </c>
      <c r="AN3" s="10" t="s">
        <v>125</v>
      </c>
      <c r="AO3" s="10" t="s">
        <v>132</v>
      </c>
      <c r="AP3" s="10" t="s">
        <v>127</v>
      </c>
      <c r="AQ3" s="10" t="s">
        <v>133</v>
      </c>
      <c r="AR3" s="10" t="s">
        <v>134</v>
      </c>
      <c r="AS3" s="10" t="s">
        <v>135</v>
      </c>
      <c r="AU3" s="1" t="s">
        <v>47</v>
      </c>
      <c r="AV3" s="1" t="s">
        <v>48</v>
      </c>
      <c r="AW3" s="1" t="s">
        <v>114</v>
      </c>
      <c r="AX3" s="1" t="s">
        <v>1</v>
      </c>
      <c r="AY3" s="1" t="s">
        <v>123</v>
      </c>
      <c r="AZ3" s="1" t="s">
        <v>124</v>
      </c>
      <c r="BA3" s="10" t="s">
        <v>136</v>
      </c>
      <c r="BB3" s="10" t="s">
        <v>137</v>
      </c>
      <c r="BC3" s="10" t="s">
        <v>127</v>
      </c>
      <c r="BD3" s="10" t="s">
        <v>133</v>
      </c>
      <c r="BE3" s="10" t="s">
        <v>134</v>
      </c>
      <c r="BF3" s="10" t="s">
        <v>135</v>
      </c>
    </row>
    <row r="4" spans="1:58" x14ac:dyDescent="0.2">
      <c r="A4" s="8">
        <v>2021</v>
      </c>
      <c r="B4" s="34">
        <f>+VLOOKUP($A4,'Almonds Margin - Baseline'!$A$5:$BL$39,COLUMNS( 'Almonds Margin - Baseline'!$A10:$B10),0)</f>
        <v>6500</v>
      </c>
      <c r="C4" s="34">
        <f>B4/1000</f>
        <v>6.5</v>
      </c>
      <c r="D4" s="28">
        <f>+VLOOKUP($A4,'Almonds Margin - Baseline'!$A$5:$BL$39,COLUMNS('Almonds Margin - Baseline'!$A10:$D10),0)</f>
        <v>2.48</v>
      </c>
      <c r="E4" s="28">
        <f>+VLOOKUP($A4,'Almonds Margin - Baseline'!$A$5:$BL$39,COLUMNS('Almonds Margin - Baseline'!$A10:$F10),0)</f>
        <v>16120</v>
      </c>
      <c r="F4" s="28">
        <f>+VLOOKUP($A4,'Almonds Margin - Baseline'!$A$5:$BL$39,COLUMNS('Almonds Margin - Baseline'!$A10:$BH10),0)</f>
        <v>14060.132</v>
      </c>
      <c r="G4" s="28">
        <f>+VLOOKUP($A4,'Almonds Margin - Baseline'!$A$5:$BL$39,COLUMNS('Almonds Margin - Baseline'!$A10:$BJ10),0)</f>
        <v>2059.8680000000004</v>
      </c>
      <c r="H4" s="166">
        <f>+VLOOKUP($A4,'Almonds Margin - Baseline'!$A$5:$BL$39,COLUMNS('Almonds Margin - Baseline'!$A10:$BL10),0)</f>
        <v>1.8603774166122455</v>
      </c>
      <c r="I4" s="34">
        <f>+VLOOKUP($A4,'Almonds Margin - Alternative'!$A$7:$BT$41,COLUMNS('Almonds Margin - Alternative'!$A12:$D12),0)</f>
        <v>6500</v>
      </c>
      <c r="J4" s="34">
        <f>I4/1000</f>
        <v>6.5</v>
      </c>
      <c r="K4" s="28">
        <f>'Almonds Margin - Alternative'!H7</f>
        <v>2.48</v>
      </c>
      <c r="L4" s="28">
        <f>+VLOOKUP($A4,'Almonds Margin - Alternative'!$A$7:$BT$41,COLUMNS('Almonds Margin - Alternative'!$A12:$K12),0)</f>
        <v>16120</v>
      </c>
      <c r="M4" s="28">
        <f>+VLOOKUP($A4,'Almonds Margin - Alternative'!$A$7:$BT$41,COLUMNS('Almonds Margin - Alternative'!$A12:$BO12),0)</f>
        <v>14060.132</v>
      </c>
      <c r="N4" s="28">
        <f>+VLOOKUP($A4,'Almonds Margin - Alternative'!$A$7:$BT$41,COLUMNS('Almonds Margin - Alternative'!$A12:$BR12),0)</f>
        <v>2059.8680000000004</v>
      </c>
      <c r="O4" s="158">
        <f>+VLOOKUP($A4,'Almonds Margin - Alternative'!$A$7:$CA$41,COLUMNS('Almonds Margin - Alternative'!$A12:$BU12),0)</f>
        <v>1.8603774166122455</v>
      </c>
      <c r="P4" s="28">
        <f>+VLOOKUP($A4,'Almonds Margin - Alter.Ex.Rate'!$A$7:$BL$41,COLUMNS('Almonds Margin - Alter.Ex.Rate'!$A12:$BJ12),0)</f>
        <v>2059.8680000000004</v>
      </c>
      <c r="Q4" s="34">
        <f>+VLOOKUP($A4,'Almonds Margin - Alter.Ex.Rate'!$A$7:$BL$41,COLUMNS('Almonds Margin - Alter.Ex.Rate'!$A12:$BL12),0)</f>
        <v>2.1127794113274083</v>
      </c>
      <c r="R4" s="34">
        <f>+VLOOKUP($A4,'Almonds Margin - Baseline'!$A$5:$BL$39,COLUMNS( 'Almonds Margin - Baseline'!$A10:$B10),0)</f>
        <v>6500</v>
      </c>
      <c r="S4" s="28">
        <f>+VLOOKUP($A4,'Almonds Margin - Baseline'!$A$5:$BL$39,COLUMNS('Almonds Margin - Baseline'!$A10:$D10),0)</f>
        <v>2.48</v>
      </c>
      <c r="T4" s="28">
        <f>+VLOOKUP($A4,'Almonds Margin - Baseline'!$A$5:$BL$39,COLUMNS('Almonds Margin - Baseline'!$A10:$F10),0)</f>
        <v>16120</v>
      </c>
      <c r="U4" s="28" t="e">
        <f>+VLOOKUP($A4,#REF!,COLUMNS(#REF!),0)</f>
        <v>#REF!</v>
      </c>
      <c r="V4" s="62">
        <f>+VLOOKUP($A4,'Grapes Margin - Baseline'!$A$7:$BC$41,COLUMNS('Grapes Margin - Baseline'!$A9:$C9),0)</f>
        <v>3000</v>
      </c>
      <c r="W4" s="104">
        <f>'Grapes Margin - Baseline'!F7</f>
        <v>15.4</v>
      </c>
      <c r="X4" s="62">
        <f>VLOOKUP($A4,'Grapes Margin - Baseline'!$A$7:$BC$41,COLUMNS('Grapes Margin - Baseline'!$A7:$I7),0)</f>
        <v>46200</v>
      </c>
      <c r="Y4" s="62">
        <f>VLOOKUP($A4,'Grapes Margin - Baseline'!$A$7:$CA$41,COLUMNS('Grapes Margin - Baseline'!$A7:$BD7),0)</f>
        <v>17595</v>
      </c>
      <c r="Z4" s="62">
        <f>+VLOOKUP($A4,'Grapes Margin - Baseline'!$A$7:$CA$41,COLUMNS('Grapes Margin - Baseline'!$A7:$BF7),0)</f>
        <v>28605</v>
      </c>
      <c r="AA4" s="64">
        <f>+VLOOKUP($A4,'Grapes Margin - Baseline'!$A$7:$CA$41,COLUMNS('Grapes Margin - Baseline'!$A7:$BH7),0)</f>
        <v>5.6056868790681742</v>
      </c>
      <c r="AB4" s="62">
        <f>+VLOOKUP($A4,'Grapes Margin - Alternative'!$A$7:$BY$41,COLUMNS('Grapes Margin - Alternative'!$A7:$C7),0)</f>
        <v>3000</v>
      </c>
      <c r="AC4" s="62">
        <f>'Grapes Margin - Alternative'!F7</f>
        <v>15.4</v>
      </c>
      <c r="AD4" s="62">
        <f>VLOOKUP($A4,'Grapes Margin - Alternative'!$A$7:$BB$41,COLUMNS('Grapes Margin - Alternative'!$A7:$J7),0)</f>
        <v>46200</v>
      </c>
      <c r="AE4" s="62">
        <f>VLOOKUP($A4,'Grapes Margin - Alternative'!$A$7:$BY$41,COLUMNS('Grapes Margin - Alternative'!$A7:$BF7),0)</f>
        <v>17595.48</v>
      </c>
      <c r="AF4" s="62">
        <f>VLOOKUP($A4,'Grapes Margin - Alternative'!$A$7:$BY$41,COLUMNS('Grapes Margin - Alternative'!$A7:$BI7),0)</f>
        <v>28604.52</v>
      </c>
      <c r="AG4" s="64">
        <f>+VLOOKUP($A4,'Grapes Margin - Alternative'!$A$7:$BY$41,COLUMNS('Grapes Margin - Alternative'!$A7:$BL7),0)</f>
        <v>5.6058513189448442</v>
      </c>
      <c r="AH4" s="62">
        <f>+VLOOKUP($A4,'Citrus Margin ORAG - Baseline'!$A$7:$BC$41,COLUMNS('Citrus Margin ORAG - Baseline'!$A7:$C7),0)</f>
        <v>500</v>
      </c>
      <c r="AI4" s="104">
        <f>+VLOOKUP($A4,'Citrus Margin ORAG - Baseline'!$A$7:$BC$41,COLUMNS('Citrus Margin ORAG - Baseline'!$A7:$F7),0)</f>
        <v>40</v>
      </c>
      <c r="AJ4" s="62">
        <f>VLOOKUP($A4,'Citrus Margin ORAG - Baseline'!$A$7:$BC$41,COLUMNS('Citrus Margin ORAG - Baseline'!$A7:$I7),0)</f>
        <v>20000</v>
      </c>
      <c r="AK4" s="62">
        <f>VLOOKUP($A4,'Citrus Margin ORAG - Baseline'!$A$7:$BC$41,COLUMNS('Citrus Margin ORAG - Baseline'!$A7:$AY7),0)</f>
        <v>13737.601000000001</v>
      </c>
      <c r="AL4" s="62">
        <f>+VLOOKUP($A4,'Citrus Margin ORAG - Baseline'!$A$7:$BC$41,COLUMNS('Citrus Margin ORAG - Baseline'!$A7:$BA7),0)</f>
        <v>6262.3989999999994</v>
      </c>
      <c r="AM4" s="64">
        <f>+VLOOKUP($A4,'Citrus Margin ORAG - Baseline'!$A$7:$BC$41,COLUMNS('Citrus Margin ORAG - Baseline'!$A7:$BC7),0)</f>
        <v>26.369686315789476</v>
      </c>
      <c r="AN4" s="62">
        <f>+VLOOKUP($A4,'Citrus Margin ORAG- Alternative'!$A$7:$BW$41,COLUMNS('Citrus Margin ORAG- Alternative'!$A7:$E7),0)</f>
        <v>500</v>
      </c>
      <c r="AO4" s="62">
        <f>'Citrus Margin ORAG- Alternative'!H7</f>
        <v>40</v>
      </c>
      <c r="AP4" s="62">
        <f>VLOOKUP($A4,'Citrus Margin ORAG- Alternative'!$A$7:$BB$41,COLUMNS('Citrus Margin ORAG- Alternative'!$A7:$J7),0)</f>
        <v>20000</v>
      </c>
      <c r="AQ4" s="62">
        <f>VLOOKUP($A4,'Citrus Margin ORAG- Alternative'!$A$7:$CA$41,COLUMNS('Citrus Margin ORAG- Alternative'!$A7:BA7),0)</f>
        <v>13737.601000000001</v>
      </c>
      <c r="AR4" s="62">
        <f>VLOOKUP($A4,'Citrus Margin ORAG- Alternative'!$A$7:$BW$41,COLUMNS('Citrus Margin ORAG- Alternative'!$A7:$BD7),0)</f>
        <v>6262.3989999999994</v>
      </c>
      <c r="AS4" s="64">
        <f>+VLOOKUP($A4,'Citrus Margin ORAG- Alternative'!$A$7:$BW$41,COLUMNS('Citrus Margin ORAG- Alternative'!$A7:$BG7),0)</f>
        <v>26.369686315789476</v>
      </c>
      <c r="AT4" s="35"/>
      <c r="AU4" s="62">
        <f>+VLOOKUP($A4,'Citrus Margin MAND - Baseline'!$A$7:$CA$41,COLUMNS('Citrus Margin MAND - Baseline'!$A7:$C7),0)</f>
        <v>700</v>
      </c>
      <c r="AV4" s="104">
        <f>+VLOOKUP($A4,'Citrus Margin MAND - Baseline'!$A$7:$CA$41,COLUMNS('Citrus Margin MAND - Baseline'!$A7:$F7),0)</f>
        <v>45</v>
      </c>
      <c r="AW4" s="62">
        <f>VLOOKUP($A4,'Citrus Margin MAND - Baseline'!$A$7:$CA$41,COLUMNS('Citrus Margin MAND - Baseline'!$A7:$I7),0)</f>
        <v>31500</v>
      </c>
      <c r="AX4" s="62">
        <f>VLOOKUP($A4,'Citrus Margin MAND - Baseline'!$A$7:$BC$41,COLUMNS('Citrus Margin MAND - Baseline'!$A7:$AY7),0)</f>
        <v>21083.78</v>
      </c>
      <c r="AY4" s="62">
        <f>+VLOOKUP($A4,'Citrus Margin MAND - Baseline'!$A$7:$BC$41,COLUMNS('Citrus Margin MAND - Baseline'!$A7:$BA7),0)</f>
        <v>10416.220000000001</v>
      </c>
      <c r="AZ4" s="64">
        <f>+VLOOKUP($A4,'Citrus Margin MAND - Baseline'!$A$7:$BC$41,COLUMNS('Citrus Margin MAND - Baseline'!$A7:$BC7),0)</f>
        <v>29.265229629629626</v>
      </c>
      <c r="BA4" s="62">
        <f>+VLOOKUP($A4,'Citrus Margin MAND- Alternative'!$A$7:$BX$41,COLUMNS('Citrus Margin MAND- Alternative'!$A7:$C7),0)</f>
        <v>700</v>
      </c>
      <c r="BB4" s="62">
        <f>'Citrus Margin MAND- Alternative'!F7</f>
        <v>45</v>
      </c>
      <c r="BC4" s="62">
        <f>VLOOKUP($A4,'Citrus Margin MAND- Alternative'!$A$7:$BC$41,COLUMNS('Citrus Margin MAND- Alternative'!$A7:$I7),0)</f>
        <v>31500</v>
      </c>
      <c r="BD4" s="62">
        <f>VLOOKUP($A4,'Citrus Margin MAND- Alternative'!$A$7:$BC$41,COLUMNS('Citrus Margin MAND- Alternative'!$A7:$AZ7),0)</f>
        <v>21083.78</v>
      </c>
      <c r="BE4" s="62">
        <f>VLOOKUP($A4,'Citrus Margin MAND- Alternative'!$A$7:$BX$41,COLUMNS('Citrus Margin MAND- Alternative'!$A7:$BC7),0)</f>
        <v>10416.220000000001</v>
      </c>
      <c r="BF4" s="64">
        <f>+VLOOKUP($A4,'Citrus Margin MAND- Alternative'!$A$7:$BX$41,COLUMNS('Citrus Margin MAND- Alternative'!$A7:$BF7),0)</f>
        <v>29.265229629629626</v>
      </c>
    </row>
    <row r="5" spans="1:58" x14ac:dyDescent="0.2">
      <c r="A5" s="8">
        <f t="shared" ref="A5:A33" si="0">+A4+1</f>
        <v>2022</v>
      </c>
      <c r="B5" s="34">
        <f>+VLOOKUP($A5,'Almonds Margin - Baseline'!$A$5:$BL$39,COLUMNS('Almonds Margin - Baseline'!$A11:$B11),0)</f>
        <v>6595.1713395638626</v>
      </c>
      <c r="C5" s="34">
        <f t="shared" ref="C5:C33" si="1">B5/1000</f>
        <v>6.5951713395638629</v>
      </c>
      <c r="D5" s="28">
        <f>+VLOOKUP($A5,'Almonds Margin - Baseline'!$A$5:$BL$39,COLUMNS('Almonds Margin - Baseline'!$A11:$D11),0)</f>
        <v>2.48</v>
      </c>
      <c r="E5" s="28">
        <f>+VLOOKUP($A5,'Almonds Margin - Baseline'!$A$5:$BL$39,COLUMNS('Almonds Margin - Baseline'!$A11:$F11),0)</f>
        <v>16356.024922118379</v>
      </c>
      <c r="F5" s="28">
        <f>+VLOOKUP($A5,'Almonds Margin - Baseline'!$A$5:$BL$39,COLUMNS('Almonds Margin - Baseline'!$A11:$BH11),0)</f>
        <v>14310.196833237043</v>
      </c>
      <c r="G5" s="28">
        <f>+VLOOKUP($A5,'Almonds Margin - Baseline'!$A$5:$BL$39,COLUMNS('Almonds Margin - Baseline'!$A11:$BJ11),0)</f>
        <v>2045.8280888813351</v>
      </c>
      <c r="H5" s="166">
        <f>+VLOOKUP($A5,'Almonds Margin - Baseline'!$A$5:$BL$39,COLUMNS('Almonds Margin - Baseline'!$A11:$BL11),0)</f>
        <v>1.8671921591305261</v>
      </c>
      <c r="I5" s="34">
        <f>+VLOOKUP($A5,'Almonds Margin - Alternative'!$A$7:$BT$41,COLUMNS('Almonds Margin - Alternative'!$A13:$D13),0)</f>
        <v>6595.1713395638626</v>
      </c>
      <c r="J5" s="34">
        <f t="shared" ref="J5:J33" si="2">I5/1000</f>
        <v>6.5951713395638629</v>
      </c>
      <c r="K5" s="28">
        <f>'Almonds Margin - Alternative'!H8</f>
        <v>2.48</v>
      </c>
      <c r="L5" s="28">
        <f>+VLOOKUP($A5,'Almonds Margin - Alternative'!$A$7:$BT$41,COLUMNS('Almonds Margin - Alternative'!$A13:$K13),0)</f>
        <v>16356.024922118379</v>
      </c>
      <c r="M5" s="28">
        <f>+VLOOKUP($A5,'Almonds Margin - Alternative'!$A$7:$BT$41,COLUMNS('Almonds Margin - Alternative'!$A13:$BO13),0)</f>
        <v>14310.196833237043</v>
      </c>
      <c r="N5" s="28">
        <f>+VLOOKUP($A5,'Almonds Margin - Alternative'!$A$7:$BT$41,COLUMNS('Almonds Margin - Alternative'!$A13:$BR13),0)</f>
        <v>2045.8280888813351</v>
      </c>
      <c r="O5" s="158">
        <f>+VLOOKUP($A5,'Almonds Margin - Alternative'!$A$7:$CA$41,COLUMNS('Almonds Margin - Alternative'!$A13:$BU13),0)</f>
        <v>1.8671921591305261</v>
      </c>
      <c r="P5" s="28">
        <f>+VLOOKUP($A5,'Almonds Margin - Alter.Ex.Rate'!$A$7:$BL$41,COLUMNS('Almonds Margin - Alter.Ex.Rate'!$A13:$BJ13),0)</f>
        <v>2149.0895288813335</v>
      </c>
      <c r="Q5" s="34">
        <f>+VLOOKUP($A5,'Almonds Margin - Alter.Ex.Rate'!$A$7:$BL$41,COLUMNS('Almonds Margin - Alter.Ex.Rate'!$A13:$BL13),0)</f>
        <v>2.1026970380069487</v>
      </c>
      <c r="R5" s="34">
        <f>+VLOOKUP($A5,'Almonds Margin - Baseline'!$A$5:$BL$39,COLUMNS( 'Almonds Margin - Baseline'!$A11:$B11),0)</f>
        <v>6595.1713395638626</v>
      </c>
      <c r="S5" s="28">
        <f>+VLOOKUP($A5,'Almonds Margin - Baseline'!$A$5:$BL$39,COLUMNS('Almonds Margin - Baseline'!$A11:$D11),0)</f>
        <v>2.48</v>
      </c>
      <c r="T5" s="28">
        <f>+VLOOKUP($A5,'Almonds Margin - Baseline'!$A$5:$BL$39,COLUMNS('Almonds Margin - Baseline'!$A11:$F11),0)</f>
        <v>16356.024922118379</v>
      </c>
      <c r="U5" s="28" t="e">
        <f>+VLOOKUP($A5,#REF!,COLUMNS(#REF!),0)</f>
        <v>#REF!</v>
      </c>
      <c r="V5" s="62">
        <f>+VLOOKUP($A5,'Grapes Margin - Baseline'!$A$7:$BC$41,COLUMNS('Grapes Margin - Baseline'!$A10:$C10),0)</f>
        <v>3043.9252336448599</v>
      </c>
      <c r="W5" s="104">
        <f>'Grapes Margin - Baseline'!F8</f>
        <v>15.4</v>
      </c>
      <c r="X5" s="62">
        <f>VLOOKUP($A5,'Grapes Margin - Baseline'!$A$7:$BC$41,COLUMNS('Grapes Margin - Baseline'!$A8:$I8),0)</f>
        <v>46876.448598130846</v>
      </c>
      <c r="Y5" s="62">
        <f>VLOOKUP($A5,'Grapes Margin - Baseline'!$A$7:$CA$41,COLUMNS('Grapes Margin - Baseline'!$A8:$BD8),0)</f>
        <v>18079.740766355142</v>
      </c>
      <c r="Z5" s="62">
        <f>+VLOOKUP($A5,'Grapes Margin - Baseline'!$A$7:$CA$41,COLUMNS('Grapes Margin - Baseline'!$A8:$BF8),0)</f>
        <v>28796.707831775704</v>
      </c>
      <c r="AA5" s="64">
        <f>+VLOOKUP($A5,'Grapes Margin - Baseline'!$A$7:$CA$41,COLUMNS('Grapes Margin - Baseline'!$A8:$BH8),0)</f>
        <v>5.678835620650081</v>
      </c>
      <c r="AB5" s="62">
        <f>+VLOOKUP($A5,'Grapes Margin - Alternative'!$A$7:$BY$41,COLUMNS('Grapes Margin - Alternative'!$A8:$C8),0)</f>
        <v>3043.9252336448599</v>
      </c>
      <c r="AC5" s="62">
        <f>'Grapes Margin - Alternative'!F8</f>
        <v>15.4</v>
      </c>
      <c r="AD5" s="62">
        <f>VLOOKUP($A5,'Grapes Margin - Alternative'!$A$7:$BB$41,COLUMNS('Grapes Margin - Alternative'!$A8:$J8),0)</f>
        <v>46876.448598130846</v>
      </c>
      <c r="AE5" s="62">
        <f>VLOOKUP($A5,'Grapes Margin - Alternative'!$A$7:$BY$41,COLUMNS('Grapes Margin - Alternative'!$A8:$BF8),0)</f>
        <v>18080.218148173324</v>
      </c>
      <c r="AF5" s="62">
        <f>VLOOKUP($A5,'Grapes Margin - Alternative'!$A$7:$BY$41,COLUMNS('Grapes Margin - Alternative'!$A8:$BI8),0)</f>
        <v>28796.230449957522</v>
      </c>
      <c r="AG5" s="64">
        <f>+VLOOKUP($A5,'Grapes Margin - Alternative'!$A$7:$BY$41,COLUMNS('Grapes Margin - Alternative'!$A8:$BL8),0)</f>
        <v>5.6789968609645722</v>
      </c>
      <c r="AH5" s="62">
        <f>+VLOOKUP($A5,'Citrus Margin ORAG - Baseline'!$A$7:$BC$41,COLUMNS('Citrus Margin ORAG - Baseline'!$A8:$C8),0)</f>
        <v>507.32087227414326</v>
      </c>
      <c r="AI5" s="104">
        <f>+VLOOKUP($A5,'Citrus Margin ORAG - Baseline'!$A$7:$BC$41,COLUMNS('Citrus Margin ORAG - Baseline'!$A8:$F8),0)</f>
        <v>40</v>
      </c>
      <c r="AJ5" s="62">
        <f>VLOOKUP($A5,'Citrus Margin ORAG - Baseline'!$A$7:$BC$41,COLUMNS('Citrus Margin ORAG - Baseline'!$A8:$I8),0)</f>
        <v>20292.834890965729</v>
      </c>
      <c r="AK5" s="62">
        <f>VLOOKUP($A5,'Citrus Margin ORAG - Baseline'!$A$7:$BC$41,COLUMNS('Citrus Margin ORAG - Baseline'!$A8:$AY8),0)</f>
        <v>14057.419039110733</v>
      </c>
      <c r="AL5" s="62">
        <f>+VLOOKUP($A5,'Citrus Margin ORAG - Baseline'!$A$7:$BC$41,COLUMNS('Citrus Margin ORAG - Baseline'!$A8:$BA8),0)</f>
        <v>6235.4158518549957</v>
      </c>
      <c r="AM5" s="64">
        <f>+VLOOKUP($A5,'Citrus Margin ORAG - Baseline'!$A$7:$BC$41,COLUMNS('Citrus Margin ORAG - Baseline'!$A8:$BC8),0)</f>
        <v>26.610308663454358</v>
      </c>
      <c r="AN5" s="62">
        <f>+VLOOKUP($A5,'Citrus Margin ORAG- Alternative'!$A$7:$BW$41,COLUMNS('Citrus Margin ORAG- Alternative'!$A8:$E8),0)</f>
        <v>507.32087227414326</v>
      </c>
      <c r="AO5" s="62">
        <f>'Citrus Margin ORAG- Alternative'!H8</f>
        <v>40</v>
      </c>
      <c r="AP5" s="62">
        <f>VLOOKUP($A5,'Citrus Margin ORAG- Alternative'!$A$7:$BB$41,COLUMNS('Citrus Margin ORAG- Alternative'!$A8:$J8),0)</f>
        <v>20292.834890965729</v>
      </c>
      <c r="AQ5" s="62">
        <f>VLOOKUP($A5,'Citrus Margin ORAG- Alternative'!$A$7:$CA$41,COLUMNS('Citrus Margin ORAG- Alternative'!$A8:BA8),0)</f>
        <v>14057.419039110733</v>
      </c>
      <c r="AR5" s="62">
        <f>VLOOKUP($A5,'Citrus Margin ORAG- Alternative'!$A$7:$BW$41,COLUMNS('Citrus Margin ORAG- Alternative'!$A8:$BD8),0)</f>
        <v>6235.4158518549957</v>
      </c>
      <c r="AS5" s="64">
        <f>+VLOOKUP($A5,'Citrus Margin ORAG- Alternative'!$A$7:$BW$41,COLUMNS('Citrus Margin ORAG- Alternative'!$A8:$BG8),0)</f>
        <v>26.610308663454358</v>
      </c>
      <c r="AT5" s="35"/>
      <c r="AU5" s="62">
        <f>+VLOOKUP($A5,'Citrus Margin MAND - Baseline'!$A$7:$CA$41,COLUMNS('Citrus Margin MAND - Baseline'!$A8:$C8),0)</f>
        <v>710.24922118380061</v>
      </c>
      <c r="AV5" s="104">
        <f>+VLOOKUP($A5,'Citrus Margin MAND - Baseline'!$A$7:$CA$41,COLUMNS('Citrus Margin MAND - Baseline'!$A8:$F8),0)</f>
        <v>45</v>
      </c>
      <c r="AW5" s="62">
        <f>VLOOKUP($A5,'Citrus Margin MAND - Baseline'!$A$7:$CA$41,COLUMNS('Citrus Margin MAND - Baseline'!$A8:$I8),0)</f>
        <v>31961.214953271028</v>
      </c>
      <c r="AX5" s="62">
        <f>VLOOKUP($A5,'Citrus Margin MAND - Baseline'!$A$7:$BC$41,COLUMNS('Citrus Margin MAND - Baseline'!$A8:$AY8),0)</f>
        <v>21639.628430019824</v>
      </c>
      <c r="AY5" s="62">
        <f>+VLOOKUP($A5,'Citrus Margin MAND - Baseline'!$A$7:$BC$41,COLUMNS('Citrus Margin MAND - Baseline'!$A8:$BA8),0)</f>
        <v>10321.586523251204</v>
      </c>
      <c r="AZ5" s="64">
        <f>+VLOOKUP($A5,'Citrus Margin MAND - Baseline'!$A$7:$BC$41,COLUMNS('Citrus Margin MAND - Baseline'!$A8:$BC8),0)</f>
        <v>29.620719554556285</v>
      </c>
      <c r="BA5" s="62">
        <f>+VLOOKUP($A5,'Citrus Margin MAND- Alternative'!$A$7:$BX$41,COLUMNS('Citrus Margin MAND- Alternative'!$A8:$C8),0)</f>
        <v>710.24922118380061</v>
      </c>
      <c r="BB5" s="62">
        <f>'Citrus Margin MAND- Alternative'!F8</f>
        <v>45</v>
      </c>
      <c r="BC5" s="62">
        <f>VLOOKUP($A5,'Citrus Margin MAND- Alternative'!$A$7:$BC$41,COLUMNS('Citrus Margin MAND- Alternative'!$A8:$I8),0)</f>
        <v>31961.214953271028</v>
      </c>
      <c r="BD5" s="62">
        <f>VLOOKUP($A5,'Citrus Margin MAND- Alternative'!$A$7:$BC$41,COLUMNS('Citrus Margin MAND- Alternative'!$A8:$AZ8),0)</f>
        <v>21639.628430019824</v>
      </c>
      <c r="BE5" s="62">
        <f>VLOOKUP($A5,'Citrus Margin MAND- Alternative'!$A$7:$BX$41,COLUMNS('Citrus Margin MAND- Alternative'!$A8:$BC8),0)</f>
        <v>10321.586523251204</v>
      </c>
      <c r="BF5" s="64">
        <f>+VLOOKUP($A5,'Citrus Margin MAND- Alternative'!$A$7:$BX$41,COLUMNS('Citrus Margin MAND- Alternative'!$A8:$BF8),0)</f>
        <v>29.620719554556285</v>
      </c>
    </row>
    <row r="6" spans="1:58" x14ac:dyDescent="0.2">
      <c r="A6" s="8">
        <f t="shared" si="0"/>
        <v>2023</v>
      </c>
      <c r="B6" s="34">
        <f>+VLOOKUP($A6,'Almonds Margin - Baseline'!$A$5:$BL$39,COLUMNS('Almonds Margin - Baseline'!$A12:$B12),0)</f>
        <v>6826.0124610591902</v>
      </c>
      <c r="C6" s="34">
        <f t="shared" si="1"/>
        <v>6.8260124610591904</v>
      </c>
      <c r="D6" s="28">
        <f>+VLOOKUP($A6,'Almonds Margin - Baseline'!$A$5:$BL$39,COLUMNS('Almonds Margin - Baseline'!$A12:$D12),0)</f>
        <v>2.48</v>
      </c>
      <c r="E6" s="28">
        <f>+VLOOKUP($A6,'Almonds Margin - Baseline'!$A$5:$BL$39,COLUMNS('Almonds Margin - Baseline'!$A12:$F12),0)</f>
        <v>16928.510903426792</v>
      </c>
      <c r="F6" s="28">
        <f>+VLOOKUP($A6,'Almonds Margin - Baseline'!$A$5:$BL$39,COLUMNS('Almonds Margin - Baseline'!$A12:$BH12),0)</f>
        <v>14710.164999808743</v>
      </c>
      <c r="G6" s="28">
        <f>+VLOOKUP($A6,'Almonds Margin - Baseline'!$A$5:$BL$39,COLUMNS('Almonds Margin - Baseline'!$A12:$BJ12),0)</f>
        <v>2218.3459036180484</v>
      </c>
      <c r="H6" s="166">
        <f>+VLOOKUP($A6,'Almonds Margin - Baseline'!$A$5:$BL$39,COLUMNS('Almonds Margin - Baseline'!$A12:$BL12),0)</f>
        <v>1.8525924934445919</v>
      </c>
      <c r="I6" s="34">
        <f>+VLOOKUP($A6,'Almonds Margin - Alternative'!$A$7:$BT$41,COLUMNS('Almonds Margin - Alternative'!$A14:$D14),0)</f>
        <v>6826.0124610591902</v>
      </c>
      <c r="J6" s="34">
        <f t="shared" si="2"/>
        <v>6.8260124610591904</v>
      </c>
      <c r="K6" s="28">
        <f>'Almonds Margin - Alternative'!H9</f>
        <v>2.48</v>
      </c>
      <c r="L6" s="28">
        <f>+VLOOKUP($A6,'Almonds Margin - Alternative'!$A$7:$BT$41,COLUMNS('Almonds Margin - Alternative'!$A14:$K14),0)</f>
        <v>16928.510903426792</v>
      </c>
      <c r="M6" s="28">
        <f>+VLOOKUP($A6,'Almonds Margin - Alternative'!$A$7:$BT$41,COLUMNS('Almonds Margin - Alternative'!$A14:$BO14),0)</f>
        <v>14710.164999808743</v>
      </c>
      <c r="N6" s="28">
        <f>+VLOOKUP($A6,'Almonds Margin - Alternative'!$A$7:$BT$41,COLUMNS('Almonds Margin - Alternative'!$A14:$BR14),0)</f>
        <v>2218.3459036180484</v>
      </c>
      <c r="O6" s="158">
        <f>+VLOOKUP($A6,'Almonds Margin - Alternative'!$A$7:$CA$41,COLUMNS('Almonds Margin - Alternative'!$A14:$BU14),0)</f>
        <v>1.8525924934445919</v>
      </c>
      <c r="P6" s="28">
        <f>+VLOOKUP($A6,'Almonds Margin - Alter.Ex.Rate'!$A$7:$BL$41,COLUMNS('Almonds Margin - Alter.Ex.Rate'!$A14:$BJ14),0)</f>
        <v>2806.4015726550406</v>
      </c>
      <c r="Q6" s="34">
        <f>+VLOOKUP($A6,'Almonds Margin - Alter.Ex.Rate'!$A$7:$BL$41,COLUMNS('Almonds Margin - Alter.Ex.Rate'!$A14:$BL14),0)</f>
        <v>2.0059824730765663</v>
      </c>
      <c r="R6" s="34">
        <f>+VLOOKUP($A6,'Almonds Margin - Baseline'!$A$5:$BL$39,COLUMNS( 'Almonds Margin - Baseline'!$A12:$B12),0)</f>
        <v>6826.0124610591902</v>
      </c>
      <c r="S6" s="28">
        <f>+VLOOKUP($A6,'Almonds Margin - Baseline'!$A$5:$BL$39,COLUMNS('Almonds Margin - Baseline'!$A12:$D12),0)</f>
        <v>2.48</v>
      </c>
      <c r="T6" s="28">
        <f>+VLOOKUP($A6,'Almonds Margin - Baseline'!$A$5:$BL$39,COLUMNS('Almonds Margin - Baseline'!$A12:$F12),0)</f>
        <v>16928.510903426792</v>
      </c>
      <c r="U6" s="28" t="e">
        <f>+VLOOKUP($A6,#REF!,COLUMNS(#REF!),0)</f>
        <v>#REF!</v>
      </c>
      <c r="V6" s="62">
        <f>+VLOOKUP($A6,'Grapes Margin - Baseline'!$A$7:$BC$41,COLUMNS('Grapes Margin - Baseline'!$A11:$C11),0)</f>
        <v>3150.467289719626</v>
      </c>
      <c r="W6" s="104">
        <f>'Grapes Margin - Baseline'!F9</f>
        <v>15.4</v>
      </c>
      <c r="X6" s="62">
        <f>VLOOKUP($A6,'Grapes Margin - Baseline'!$A$7:$BC$41,COLUMNS('Grapes Margin - Baseline'!$A9:$I9),0)</f>
        <v>48517.196261682242</v>
      </c>
      <c r="Y6" s="62">
        <f>VLOOKUP($A6,'Grapes Margin - Baseline'!$A$7:$CA$41,COLUMNS('Grapes Margin - Baseline'!$A9:$BD9),0)</f>
        <v>18613.280951956564</v>
      </c>
      <c r="Z6" s="62">
        <f>+VLOOKUP($A6,'Grapes Margin - Baseline'!$A$7:$CA$41,COLUMNS('Grapes Margin - Baseline'!$A9:$BF9),0)</f>
        <v>29903.915309725679</v>
      </c>
      <c r="AA6" s="64">
        <f>+VLOOKUP($A6,'Grapes Margin - Baseline'!$A$7:$CA$41,COLUMNS('Grapes Margin - Baseline'!$A9:$BH9),0)</f>
        <v>5.6481767475288391</v>
      </c>
      <c r="AB6" s="62">
        <f>+VLOOKUP($A6,'Grapes Margin - Alternative'!$A$7:$BY$41,COLUMNS('Grapes Margin - Alternative'!$A9:$C9),0)</f>
        <v>3150.467289719626</v>
      </c>
      <c r="AC6" s="62">
        <f>'Grapes Margin - Alternative'!F9</f>
        <v>15.4</v>
      </c>
      <c r="AD6" s="62">
        <f>VLOOKUP($A6,'Grapes Margin - Alternative'!$A$7:$BB$41,COLUMNS('Grapes Margin - Alternative'!$A9:$J9),0)</f>
        <v>48517.196261682242</v>
      </c>
      <c r="AE6" s="62">
        <f>VLOOKUP($A6,'Grapes Margin - Alternative'!$A$7:$BY$41,COLUMNS('Grapes Margin - Alternative'!$A9:$BF9),0)</f>
        <v>18613.763634554009</v>
      </c>
      <c r="AF6" s="62">
        <f>VLOOKUP($A6,'Grapes Margin - Alternative'!$A$7:$BY$41,COLUMNS('Grapes Margin - Alternative'!$A9:$BI9),0)</f>
        <v>29903.432627128233</v>
      </c>
      <c r="AG6" s="64">
        <f>+VLOOKUP($A6,'Grapes Margin - Alternative'!$A$7:$BY$41,COLUMNS('Grapes Margin - Alternative'!$A9:$BL9),0)</f>
        <v>5.6483342339522524</v>
      </c>
      <c r="AH6" s="62">
        <f>+VLOOKUP($A6,'Citrus Margin ORAG - Baseline'!$A$7:$BC$41,COLUMNS('Citrus Margin ORAG - Baseline'!$A9:$C9),0)</f>
        <v>525.07788161993767</v>
      </c>
      <c r="AI6" s="104">
        <f>+VLOOKUP($A6,'Citrus Margin ORAG - Baseline'!$A$7:$BC$41,COLUMNS('Citrus Margin ORAG - Baseline'!$A9:$F9),0)</f>
        <v>40</v>
      </c>
      <c r="AJ6" s="62">
        <f>VLOOKUP($A6,'Citrus Margin ORAG - Baseline'!$A$7:$BC$41,COLUMNS('Citrus Margin ORAG - Baseline'!$A9:$I9),0)</f>
        <v>21003.115264797507</v>
      </c>
      <c r="AK6" s="62">
        <f>VLOOKUP($A6,'Citrus Margin ORAG - Baseline'!$A$7:$BC$41,COLUMNS('Citrus Margin ORAG - Baseline'!$A9:$AY9),0)</f>
        <v>14457.332727712779</v>
      </c>
      <c r="AL6" s="62">
        <f>+VLOOKUP($A6,'Citrus Margin ORAG - Baseline'!$A$7:$BC$41,COLUMNS('Citrus Margin ORAG - Baseline'!$A9:$BA9),0)</f>
        <v>6545.7825370847277</v>
      </c>
      <c r="AM6" s="64">
        <f>+VLOOKUP($A6,'Citrus Margin ORAG - Baseline'!$A$7:$BC$41,COLUMNS('Citrus Margin ORAG - Baseline'!$A9:$BC9),0)</f>
        <v>26.442468444276411</v>
      </c>
      <c r="AN6" s="62">
        <f>+VLOOKUP($A6,'Citrus Margin ORAG- Alternative'!$A$7:$BW$41,COLUMNS('Citrus Margin ORAG- Alternative'!$A9:$E9),0)</f>
        <v>525.07788161993767</v>
      </c>
      <c r="AO6" s="62">
        <f>'Citrus Margin ORAG- Alternative'!H9</f>
        <v>40</v>
      </c>
      <c r="AP6" s="62">
        <f>VLOOKUP($A6,'Citrus Margin ORAG- Alternative'!$A$7:$BB$41,COLUMNS('Citrus Margin ORAG- Alternative'!$A9:$J9),0)</f>
        <v>21003.115264797507</v>
      </c>
      <c r="AQ6" s="62">
        <f>VLOOKUP($A6,'Citrus Margin ORAG- Alternative'!$A$7:$CA$41,COLUMNS('Citrus Margin ORAG- Alternative'!$A9:BA9),0)</f>
        <v>14457.332727712779</v>
      </c>
      <c r="AR6" s="62">
        <f>VLOOKUP($A6,'Citrus Margin ORAG- Alternative'!$A$7:$BW$41,COLUMNS('Citrus Margin ORAG- Alternative'!$A9:$BD9),0)</f>
        <v>6545.7825370847277</v>
      </c>
      <c r="AS6" s="64">
        <f>+VLOOKUP($A6,'Citrus Margin ORAG- Alternative'!$A$7:$BW$41,COLUMNS('Citrus Margin ORAG- Alternative'!$A9:$BG9),0)</f>
        <v>26.442468444276411</v>
      </c>
      <c r="AT6" s="35"/>
      <c r="AU6" s="62">
        <f>+VLOOKUP($A6,'Citrus Margin MAND - Baseline'!$A$7:$CA$41,COLUMNS('Citrus Margin MAND - Baseline'!$A9:$C9),0)</f>
        <v>735.10903426791276</v>
      </c>
      <c r="AV6" s="104">
        <f>+VLOOKUP($A6,'Citrus Margin MAND - Baseline'!$A$7:$CA$41,COLUMNS('Citrus Margin MAND - Baseline'!$A9:$F9),0)</f>
        <v>45</v>
      </c>
      <c r="AW6" s="62">
        <f>VLOOKUP($A6,'Citrus Margin MAND - Baseline'!$A$7:$CA$41,COLUMNS('Citrus Margin MAND - Baseline'!$A9:$I9),0)</f>
        <v>33079.906542056073</v>
      </c>
      <c r="AX6" s="62">
        <f>VLOOKUP($A6,'Citrus Margin MAND - Baseline'!$A$7:$BC$41,COLUMNS('Citrus Margin MAND - Baseline'!$A9:$AY9),0)</f>
        <v>22282.804688756631</v>
      </c>
      <c r="AY6" s="62">
        <f>+VLOOKUP($A6,'Citrus Margin MAND - Baseline'!$A$7:$BC$41,COLUMNS('Citrus Margin MAND - Baseline'!$A9:$BA9),0)</f>
        <v>10797.101853299442</v>
      </c>
      <c r="AZ6" s="64">
        <f>+VLOOKUP($A6,'Citrus Margin MAND - Baseline'!$A$7:$BC$41,COLUMNS('Citrus Margin MAND - Baseline'!$A9:$BC9),0)</f>
        <v>29.471264505051082</v>
      </c>
      <c r="BA6" s="62">
        <f>+VLOOKUP($A6,'Citrus Margin MAND- Alternative'!$A$7:$BX$41,COLUMNS('Citrus Margin MAND- Alternative'!$A9:$C9),0)</f>
        <v>735.10903426791276</v>
      </c>
      <c r="BB6" s="62">
        <f>'Citrus Margin MAND- Alternative'!F9</f>
        <v>45</v>
      </c>
      <c r="BC6" s="62">
        <f>VLOOKUP($A6,'Citrus Margin MAND- Alternative'!$A$7:$BC$41,COLUMNS('Citrus Margin MAND- Alternative'!$A9:$I9),0)</f>
        <v>33079.906542056073</v>
      </c>
      <c r="BD6" s="62">
        <f>VLOOKUP($A6,'Citrus Margin MAND- Alternative'!$A$7:$BC$41,COLUMNS('Citrus Margin MAND- Alternative'!$A9:$AZ9),0)</f>
        <v>22282.804688756631</v>
      </c>
      <c r="BE6" s="62">
        <f>VLOOKUP($A6,'Citrus Margin MAND- Alternative'!$A$7:$BX$41,COLUMNS('Citrus Margin MAND- Alternative'!$A9:$BC9),0)</f>
        <v>10797.101853299442</v>
      </c>
      <c r="BF6" s="64">
        <f>+VLOOKUP($A6,'Citrus Margin MAND- Alternative'!$A$7:$BX$41,COLUMNS('Citrus Margin MAND- Alternative'!$A9:$BF9),0)</f>
        <v>29.471264505051082</v>
      </c>
    </row>
    <row r="7" spans="1:58" x14ac:dyDescent="0.2">
      <c r="A7" s="8">
        <f t="shared" si="0"/>
        <v>2024</v>
      </c>
      <c r="B7" s="34">
        <f>+VLOOKUP($A7,'Almonds Margin - Baseline'!$A$5:$BL$39,COLUMNS('Almonds Margin - Baseline'!$A13:$B13),0)</f>
        <v>6996.6121495327106</v>
      </c>
      <c r="C7" s="34">
        <f t="shared" si="1"/>
        <v>6.9966121495327105</v>
      </c>
      <c r="D7" s="28">
        <f>+VLOOKUP($A7,'Almonds Margin - Baseline'!$A$5:$BL$39,COLUMNS('Almonds Margin - Baseline'!$A13:$D13),0)</f>
        <v>2.48</v>
      </c>
      <c r="E7" s="28">
        <f>+VLOOKUP($A7,'Almonds Margin - Baseline'!$A$5:$BL$39,COLUMNS('Almonds Margin - Baseline'!$A13:$F13),0)</f>
        <v>17351.598130841121</v>
      </c>
      <c r="F7" s="28">
        <f>+VLOOKUP($A7,'Almonds Margin - Baseline'!$A$5:$BL$39,COLUMNS('Almonds Margin - Baseline'!$A13:$BH13),0)</f>
        <v>15141.68457091279</v>
      </c>
      <c r="G7" s="28">
        <f>+VLOOKUP($A7,'Almonds Margin - Baseline'!$A$5:$BL$39,COLUMNS('Almonds Margin - Baseline'!$A13:$BJ13),0)</f>
        <v>2209.9135599283309</v>
      </c>
      <c r="H7" s="166">
        <f>+VLOOKUP($A7,'Almonds Margin - Baseline'!$A$5:$BL$39,COLUMNS('Almonds Margin - Baseline'!$A13:$BL13),0)</f>
        <v>1.8618812093674628</v>
      </c>
      <c r="I7" s="34">
        <f>+VLOOKUP($A7,'Almonds Margin - Alternative'!$A$7:$BT$41,COLUMNS('Almonds Margin - Alternative'!$A15:$D15),0)</f>
        <v>6996.6121495327106</v>
      </c>
      <c r="J7" s="34">
        <f t="shared" si="2"/>
        <v>6.9966121495327105</v>
      </c>
      <c r="K7" s="28">
        <f>'Almonds Margin - Alternative'!H10</f>
        <v>2.48</v>
      </c>
      <c r="L7" s="28">
        <f>+VLOOKUP($A7,'Almonds Margin - Alternative'!$A$7:$BT$41,COLUMNS('Almonds Margin - Alternative'!$A15:$K15),0)</f>
        <v>17351.598130841121</v>
      </c>
      <c r="M7" s="28">
        <f>+VLOOKUP($A7,'Almonds Margin - Alternative'!$A$7:$BT$41,COLUMNS('Almonds Margin - Alternative'!$A15:$BO15),0)</f>
        <v>15141.68457091279</v>
      </c>
      <c r="N7" s="28">
        <f>+VLOOKUP($A7,'Almonds Margin - Alternative'!$A$7:$BT$41,COLUMNS('Almonds Margin - Alternative'!$A15:$BR15),0)</f>
        <v>2209.9135599283309</v>
      </c>
      <c r="O7" s="158">
        <f>+VLOOKUP($A7,'Almonds Margin - Alternative'!$A$7:$CA$41,COLUMNS('Almonds Margin - Alternative'!$A15:$BU15),0)</f>
        <v>1.8618812093674628</v>
      </c>
      <c r="P7" s="28">
        <f>+VLOOKUP($A7,'Almonds Margin - Alter.Ex.Rate'!$A$7:$BL$41,COLUMNS('Almonds Margin - Alter.Ex.Rate'!$A15:$BJ15),0)</f>
        <v>3193.1110016783223</v>
      </c>
      <c r="Q7" s="34">
        <f>+VLOOKUP($A7,'Almonds Margin - Alter.Ex.Rate'!$A$7:$BL$41,COLUMNS('Almonds Margin - Alter.Ex.Rate'!$A15:$BL15),0)</f>
        <v>1.9547059726287244</v>
      </c>
      <c r="R7" s="34">
        <f>+VLOOKUP($A7,'Almonds Margin - Baseline'!$A$5:$BL$39,COLUMNS( 'Almonds Margin - Baseline'!$A13:$B13),0)</f>
        <v>6996.6121495327106</v>
      </c>
      <c r="S7" s="28">
        <f>+VLOOKUP($A7,'Almonds Margin - Baseline'!$A$5:$BL$39,COLUMNS('Almonds Margin - Baseline'!$A13:$D13),0)</f>
        <v>2.48</v>
      </c>
      <c r="T7" s="28">
        <f>+VLOOKUP($A7,'Almonds Margin - Baseline'!$A$5:$BL$39,COLUMNS('Almonds Margin - Baseline'!$A13:$F13),0)</f>
        <v>17351.598130841121</v>
      </c>
      <c r="U7" s="28" t="e">
        <f>+VLOOKUP($A7,#REF!,COLUMNS(#REF!),0)</f>
        <v>#REF!</v>
      </c>
      <c r="V7" s="62">
        <f>+VLOOKUP($A7,'Grapes Margin - Baseline'!$A$7:$BC$41,COLUMNS('Grapes Margin - Baseline'!$A12:$C12),0)</f>
        <v>3229.2056074766356</v>
      </c>
      <c r="W7" s="104">
        <f>'Grapes Margin - Baseline'!F10</f>
        <v>15.4</v>
      </c>
      <c r="X7" s="62">
        <f>VLOOKUP($A7,'Grapes Margin - Baseline'!$A$7:$BC$41,COLUMNS('Grapes Margin - Baseline'!$A10:$I10),0)</f>
        <v>49729.766355140186</v>
      </c>
      <c r="Y7" s="62">
        <f>VLOOKUP($A7,'Grapes Margin - Baseline'!$A$7:$CA$41,COLUMNS('Grapes Margin - Baseline'!$A10:$BD10),0)</f>
        <v>19199.633998922331</v>
      </c>
      <c r="Z7" s="62">
        <f>+VLOOKUP($A7,'Grapes Margin - Baseline'!$A$7:$CA$41,COLUMNS('Grapes Margin - Baseline'!$A10:$BF10),0)</f>
        <v>30530.132356217855</v>
      </c>
      <c r="AA7" s="64">
        <f>+VLOOKUP($A7,'Grapes Margin - Baseline'!$A$7:$CA$41,COLUMNS('Grapes Margin - Baseline'!$A10:$BH10),0)</f>
        <v>5.6858559991395046</v>
      </c>
      <c r="AB7" s="62">
        <f>+VLOOKUP($A7,'Grapes Margin - Alternative'!$A$7:$BY$41,COLUMNS('Grapes Margin - Alternative'!$A10:$C10),0)</f>
        <v>3229.2056074766356</v>
      </c>
      <c r="AC7" s="62">
        <f>'Grapes Margin - Alternative'!F10</f>
        <v>15.4</v>
      </c>
      <c r="AD7" s="62">
        <f>VLOOKUP($A7,'Grapes Margin - Alternative'!$A$7:$BB$41,COLUMNS('Grapes Margin - Alternative'!$A10:$J10),0)</f>
        <v>49729.766355140186</v>
      </c>
      <c r="AE7" s="62">
        <f>VLOOKUP($A7,'Grapes Margin - Alternative'!$A$7:$BY$41,COLUMNS('Grapes Margin - Alternative'!$A10:$BF10),0)</f>
        <v>19200.131140665613</v>
      </c>
      <c r="AF7" s="62">
        <f>VLOOKUP($A7,'Grapes Margin - Alternative'!$A$7:$BY$41,COLUMNS('Grapes Margin - Alternative'!$A10:$BI10),0)</f>
        <v>30529.635214474572</v>
      </c>
      <c r="AG7" s="64">
        <f>+VLOOKUP($A7,'Grapes Margin - Alternative'!$A$7:$BY$41,COLUMNS('Grapes Margin - Alternative'!$A10:$BL10),0)</f>
        <v>5.6860142606122501</v>
      </c>
      <c r="AH7" s="62">
        <f>+VLOOKUP($A7,'Citrus Margin ORAG - Baseline'!$A$7:$BC$41,COLUMNS('Citrus Margin ORAG - Baseline'!$A10:$C10),0)</f>
        <v>538.20093457943926</v>
      </c>
      <c r="AI7" s="104">
        <f>+VLOOKUP($A7,'Citrus Margin ORAG - Baseline'!$A$7:$BC$41,COLUMNS('Citrus Margin ORAG - Baseline'!$A10:$F10),0)</f>
        <v>40</v>
      </c>
      <c r="AJ7" s="62">
        <f>VLOOKUP($A7,'Citrus Margin ORAG - Baseline'!$A$7:$BC$41,COLUMNS('Citrus Margin ORAG - Baseline'!$A10:$I10),0)</f>
        <v>21528.037383177572</v>
      </c>
      <c r="AK7" s="62">
        <f>VLOOKUP($A7,'Citrus Margin ORAG - Baseline'!$A$7:$BC$41,COLUMNS('Citrus Margin ORAG - Baseline'!$A10:$AY10),0)</f>
        <v>14897.096752177433</v>
      </c>
      <c r="AL7" s="62">
        <f>+VLOOKUP($A7,'Citrus Margin ORAG - Baseline'!$A$7:$BC$41,COLUMNS('Citrus Margin ORAG - Baseline'!$A10:$BA10),0)</f>
        <v>6630.9406310001395</v>
      </c>
      <c r="AM7" s="64">
        <f>+VLOOKUP($A7,'Citrus Margin ORAG - Baseline'!$A$7:$BC$41,COLUMNS('Citrus Margin ORAG - Baseline'!$A10:$BC10),0)</f>
        <v>26.601472020293009</v>
      </c>
      <c r="AN7" s="62">
        <f>+VLOOKUP($A7,'Citrus Margin ORAG- Alternative'!$A$7:$BW$41,COLUMNS('Citrus Margin ORAG- Alternative'!$A10:$E10),0)</f>
        <v>538.20093457943926</v>
      </c>
      <c r="AO7" s="62">
        <f>'Citrus Margin ORAG- Alternative'!H10</f>
        <v>40</v>
      </c>
      <c r="AP7" s="62">
        <f>VLOOKUP($A7,'Citrus Margin ORAG- Alternative'!$A$7:$BB$41,COLUMNS('Citrus Margin ORAG- Alternative'!$A10:$J10),0)</f>
        <v>21528.037383177572</v>
      </c>
      <c r="AQ7" s="62">
        <f>VLOOKUP($A7,'Citrus Margin ORAG- Alternative'!$A$7:$CA$41,COLUMNS('Citrus Margin ORAG- Alternative'!$A10:BA10),0)</f>
        <v>14897.096752177433</v>
      </c>
      <c r="AR7" s="62">
        <f>VLOOKUP($A7,'Citrus Margin ORAG- Alternative'!$A$7:$BW$41,COLUMNS('Citrus Margin ORAG- Alternative'!$A10:$BD10),0)</f>
        <v>6630.9406310001395</v>
      </c>
      <c r="AS7" s="64">
        <f>+VLOOKUP($A7,'Citrus Margin ORAG- Alternative'!$A$7:$BW$41,COLUMNS('Citrus Margin ORAG- Alternative'!$A10:$BG10),0)</f>
        <v>26.601472020293009</v>
      </c>
      <c r="AT7" s="35"/>
      <c r="AU7" s="62">
        <f>+VLOOKUP($A7,'Citrus Margin MAND - Baseline'!$A$7:$CA$41,COLUMNS('Citrus Margin MAND - Baseline'!$A10:$C10),0)</f>
        <v>753.48130841121497</v>
      </c>
      <c r="AV7" s="104">
        <f>+VLOOKUP($A7,'Citrus Margin MAND - Baseline'!$A$7:$CA$41,COLUMNS('Citrus Margin MAND - Baseline'!$A10:$F10),0)</f>
        <v>45</v>
      </c>
      <c r="AW7" s="62">
        <f>VLOOKUP($A7,'Citrus Margin MAND - Baseline'!$A$7:$CA$41,COLUMNS('Citrus Margin MAND - Baseline'!$A10:$I10),0)</f>
        <v>33906.658878504677</v>
      </c>
      <c r="AX7" s="62">
        <f>VLOOKUP($A7,'Citrus Margin MAND - Baseline'!$A$7:$BC$41,COLUMNS('Citrus Margin MAND - Baseline'!$A10:$AY10),0)</f>
        <v>22973.255368146099</v>
      </c>
      <c r="AY7" s="62">
        <f>+VLOOKUP($A7,'Citrus Margin MAND - Baseline'!$A$7:$BC$41,COLUMNS('Citrus Margin MAND - Baseline'!$A10:$BA10),0)</f>
        <v>10933.403510358577</v>
      </c>
      <c r="AZ7" s="64">
        <f>+VLOOKUP($A7,'Citrus Margin MAND - Baseline'!$A$7:$BC$41,COLUMNS('Citrus Margin MAND - Baseline'!$A10:$BC10),0)</f>
        <v>29.658268716981453</v>
      </c>
      <c r="BA7" s="62">
        <f>+VLOOKUP($A7,'Citrus Margin MAND- Alternative'!$A$7:$BX$41,COLUMNS('Citrus Margin MAND- Alternative'!$A10:$C10),0)</f>
        <v>753.48130841121497</v>
      </c>
      <c r="BB7" s="62">
        <f>'Citrus Margin MAND- Alternative'!F10</f>
        <v>45</v>
      </c>
      <c r="BC7" s="62">
        <f>VLOOKUP($A7,'Citrus Margin MAND- Alternative'!$A$7:$BC$41,COLUMNS('Citrus Margin MAND- Alternative'!$A10:$I10),0)</f>
        <v>33906.658878504677</v>
      </c>
      <c r="BD7" s="62">
        <f>VLOOKUP($A7,'Citrus Margin MAND- Alternative'!$A$7:$BC$41,COLUMNS('Citrus Margin MAND- Alternative'!$A10:$AZ10),0)</f>
        <v>22973.255368146099</v>
      </c>
      <c r="BE7" s="62">
        <f>VLOOKUP($A7,'Citrus Margin MAND- Alternative'!$A$7:$BX$41,COLUMNS('Citrus Margin MAND- Alternative'!$A10:$BC10),0)</f>
        <v>10933.403510358577</v>
      </c>
      <c r="BF7" s="64">
        <f>+VLOOKUP($A7,'Citrus Margin MAND- Alternative'!$A$7:$BX$41,COLUMNS('Citrus Margin MAND- Alternative'!$A10:$BF10),0)</f>
        <v>29.658268716981453</v>
      </c>
    </row>
    <row r="8" spans="1:58" x14ac:dyDescent="0.2">
      <c r="A8" s="8">
        <f t="shared" si="0"/>
        <v>2025</v>
      </c>
      <c r="B8" s="34">
        <f>+VLOOKUP($A8,'Almonds Margin - Baseline'!$A$5:$BL$39,COLUMNS('Almonds Margin - Baseline'!$A14:$B14),0)</f>
        <v>7220.5037383177578</v>
      </c>
      <c r="C8" s="34">
        <f t="shared" si="1"/>
        <v>7.2205037383177579</v>
      </c>
      <c r="D8" s="28">
        <f>+VLOOKUP($A8,'Almonds Margin - Baseline'!$A$5:$BL$39,COLUMNS('Almonds Margin - Baseline'!$A14:$D14),0)</f>
        <v>2.48</v>
      </c>
      <c r="E8" s="28">
        <f>+VLOOKUP($A8,'Almonds Margin - Baseline'!$A$5:$BL$39,COLUMNS('Almonds Margin - Baseline'!$A14:$F14),0)</f>
        <v>17906.849271028041</v>
      </c>
      <c r="F8" s="28">
        <f>+VLOOKUP($A8,'Almonds Margin - Baseline'!$A$5:$BL$39,COLUMNS('Almonds Margin - Baseline'!$A14:$BH14),0)</f>
        <v>15601.210027221301</v>
      </c>
      <c r="G8" s="28">
        <f>+VLOOKUP($A8,'Almonds Margin - Baseline'!$A$5:$BL$39,COLUMNS('Almonds Margin - Baseline'!$A14:$BJ14),0)</f>
        <v>2305.6392438067396</v>
      </c>
      <c r="H8" s="166">
        <f>+VLOOKUP($A8,'Almonds Margin - Baseline'!$A$5:$BL$39,COLUMNS('Almonds Margin - Baseline'!$A14:$BL14),0)</f>
        <v>1.858589684558795</v>
      </c>
      <c r="I8" s="34">
        <f>+VLOOKUP($A8,'Almonds Margin - Alternative'!$A$7:$BT$41,COLUMNS('Almonds Margin - Alternative'!$A16:$D16),0)</f>
        <v>7220.5037383177578</v>
      </c>
      <c r="J8" s="34">
        <f t="shared" si="2"/>
        <v>7.2205037383177579</v>
      </c>
      <c r="K8" s="28">
        <f>'Almonds Margin - Alternative'!H11</f>
        <v>2.48</v>
      </c>
      <c r="L8" s="28">
        <f>+VLOOKUP($A8,'Almonds Margin - Alternative'!$A$7:$BT$41,COLUMNS('Almonds Margin - Alternative'!$A16:$K16),0)</f>
        <v>17906.849271028041</v>
      </c>
      <c r="M8" s="28">
        <f>+VLOOKUP($A8,'Almonds Margin - Alternative'!$A$7:$BT$41,COLUMNS('Almonds Margin - Alternative'!$A16:$BO16),0)</f>
        <v>15601.210027221301</v>
      </c>
      <c r="N8" s="28">
        <f>+VLOOKUP($A8,'Almonds Margin - Alternative'!$A$7:$BT$41,COLUMNS('Almonds Margin - Alternative'!$A16:$BR16),0)</f>
        <v>2305.6392438067396</v>
      </c>
      <c r="O8" s="158">
        <f>+VLOOKUP($A8,'Almonds Margin - Alternative'!$A$7:$CA$41,COLUMNS('Almonds Margin - Alternative'!$A16:$BU16),0)</f>
        <v>1.858589684558795</v>
      </c>
      <c r="P8" s="28">
        <f>+VLOOKUP($A8,'Almonds Margin - Alter.Ex.Rate'!$A$7:$BL$41,COLUMNS('Almonds Margin - Alter.Ex.Rate'!$A16:$BJ16),0)</f>
        <v>3568.6663296396637</v>
      </c>
      <c r="Q8" s="34">
        <f>+VLOOKUP($A8,'Almonds Margin - Alter.Ex.Rate'!$A$7:$BL$41,COLUMNS('Almonds Margin - Alter.Ex.Rate'!$A16:$BL16),0)</f>
        <v>1.911864944506398</v>
      </c>
      <c r="R8" s="34">
        <f>+VLOOKUP($A8,'Almonds Margin - Baseline'!$A$5:$BL$39,COLUMNS( 'Almonds Margin - Baseline'!$A14:$B14),0)</f>
        <v>7220.5037383177578</v>
      </c>
      <c r="S8" s="28">
        <f>+VLOOKUP($A8,'Almonds Margin - Baseline'!$A$5:$BL$39,COLUMNS('Almonds Margin - Baseline'!$A14:$D14),0)</f>
        <v>2.48</v>
      </c>
      <c r="T8" s="28">
        <f>+VLOOKUP($A8,'Almonds Margin - Baseline'!$A$5:$BL$39,COLUMNS('Almonds Margin - Baseline'!$A14:$F14),0)</f>
        <v>17906.849271028041</v>
      </c>
      <c r="U8" s="28" t="e">
        <f>+VLOOKUP($A8,#REF!,COLUMNS(#REF!),0)</f>
        <v>#REF!</v>
      </c>
      <c r="V8" s="62">
        <f>+VLOOKUP($A8,'Grapes Margin - Baseline'!$A$7:$BC$41,COLUMNS('Grapes Margin - Baseline'!$A13:$C13),0)</f>
        <v>3332.5401869158877</v>
      </c>
      <c r="W8" s="104">
        <f>'Grapes Margin - Baseline'!F11</f>
        <v>15.4</v>
      </c>
      <c r="X8" s="62">
        <f>VLOOKUP($A8,'Grapes Margin - Baseline'!$A$7:$BC$41,COLUMNS('Grapes Margin - Baseline'!$A11:$I11),0)</f>
        <v>51321.118878504669</v>
      </c>
      <c r="Y8" s="62">
        <f>VLOOKUP($A8,'Grapes Margin - Baseline'!$A$7:$CA$41,COLUMNS('Grapes Margin - Baseline'!$A11:$BD11),0)</f>
        <v>19795.359919859122</v>
      </c>
      <c r="Z8" s="62">
        <f>+VLOOKUP($A8,'Grapes Margin - Baseline'!$A$7:$CA$41,COLUMNS('Grapes Margin - Baseline'!$A11:$BF11),0)</f>
        <v>31525.758958645547</v>
      </c>
      <c r="AA8" s="64">
        <f>+VLOOKUP($A8,'Grapes Margin - Baseline'!$A$7:$CA$41,COLUMNS('Grapes Margin - Baseline'!$A11:$BH11),0)</f>
        <v>5.6810024813476172</v>
      </c>
      <c r="AB8" s="62">
        <f>+VLOOKUP($A8,'Grapes Margin - Alternative'!$A$7:$BY$41,COLUMNS('Grapes Margin - Alternative'!$A11:$C11),0)</f>
        <v>3332.5401869158877</v>
      </c>
      <c r="AC8" s="62">
        <f>'Grapes Margin - Alternative'!F11</f>
        <v>15.4</v>
      </c>
      <c r="AD8" s="62">
        <f>VLOOKUP($A8,'Grapes Margin - Alternative'!$A$7:$BB$41,COLUMNS('Grapes Margin - Alternative'!$A11:$J11),0)</f>
        <v>51321.118878504669</v>
      </c>
      <c r="AE8" s="62">
        <f>VLOOKUP($A8,'Grapes Margin - Alternative'!$A$7:$BY$41,COLUMNS('Grapes Margin - Alternative'!$A11:$BF11),0)</f>
        <v>19795.869564923225</v>
      </c>
      <c r="AF8" s="62">
        <f>VLOOKUP($A8,'Grapes Margin - Alternative'!$A$7:$BY$41,COLUMNS('Grapes Margin - Alternative'!$A11:$BI11),0)</f>
        <v>31525.249313581444</v>
      </c>
      <c r="AG8" s="64">
        <f>+VLOOKUP($A8,'Grapes Margin - Alternative'!$A$7:$BY$41,COLUMNS('Grapes Margin - Alternative'!$A11:$BL11),0)</f>
        <v>5.6811596753395968</v>
      </c>
      <c r="AH8" s="62">
        <f>+VLOOKUP($A8,'Citrus Margin ORAG - Baseline'!$A$7:$BC$41,COLUMNS('Citrus Margin ORAG - Baseline'!$A11:$C11),0)</f>
        <v>555.42336448598132</v>
      </c>
      <c r="AI8" s="104">
        <f>+VLOOKUP($A8,'Citrus Margin ORAG - Baseline'!$A$7:$BC$41,COLUMNS('Citrus Margin ORAG - Baseline'!$A11:$F11),0)</f>
        <v>40</v>
      </c>
      <c r="AJ8" s="62">
        <f>VLOOKUP($A8,'Citrus Margin ORAG - Baseline'!$A$7:$BC$41,COLUMNS('Citrus Margin ORAG - Baseline'!$A11:$I11),0)</f>
        <v>22216.934579439254</v>
      </c>
      <c r="AK8" s="62">
        <f>VLOOKUP($A8,'Citrus Margin ORAG - Baseline'!$A$7:$BC$41,COLUMNS('Citrus Margin ORAG - Baseline'!$A11:$AY11),0)</f>
        <v>15350.689565248595</v>
      </c>
      <c r="AL8" s="62">
        <f>+VLOOKUP($A8,'Citrus Margin ORAG - Baseline'!$A$7:$BC$41,COLUMNS('Citrus Margin ORAG - Baseline'!$A11:$BA11),0)</f>
        <v>6866.2450141906593</v>
      </c>
      <c r="AM8" s="64">
        <f>+VLOOKUP($A8,'Citrus Margin ORAG - Baseline'!$A$7:$BC$41,COLUMNS('Citrus Margin ORAG - Baseline'!$A11:$BC11),0)</f>
        <v>26.570488673424524</v>
      </c>
      <c r="AN8" s="62">
        <f>+VLOOKUP($A8,'Citrus Margin ORAG- Alternative'!$A$7:$BW$41,COLUMNS('Citrus Margin ORAG- Alternative'!$A11:$E11),0)</f>
        <v>555.42336448598132</v>
      </c>
      <c r="AO8" s="62">
        <f>'Citrus Margin ORAG- Alternative'!H11</f>
        <v>40</v>
      </c>
      <c r="AP8" s="62">
        <f>VLOOKUP($A8,'Citrus Margin ORAG- Alternative'!$A$7:$BB$41,COLUMNS('Citrus Margin ORAG- Alternative'!$A11:$J11),0)</f>
        <v>22216.934579439254</v>
      </c>
      <c r="AQ8" s="62">
        <f>VLOOKUP($A8,'Citrus Margin ORAG- Alternative'!$A$7:$CA$41,COLUMNS('Citrus Margin ORAG- Alternative'!$A11:BA11),0)</f>
        <v>15350.689565248595</v>
      </c>
      <c r="AR8" s="62">
        <f>VLOOKUP($A8,'Citrus Margin ORAG- Alternative'!$A$7:$BW$41,COLUMNS('Citrus Margin ORAG- Alternative'!$A11:$BD11),0)</f>
        <v>6866.2450141906593</v>
      </c>
      <c r="AS8" s="64">
        <f>+VLOOKUP($A8,'Citrus Margin ORAG- Alternative'!$A$7:$BW$41,COLUMNS('Citrus Margin ORAG- Alternative'!$A11:$BG11),0)</f>
        <v>26.570488673424524</v>
      </c>
      <c r="AT8" s="35"/>
      <c r="AU8" s="62">
        <f>+VLOOKUP($A8,'Citrus Margin MAND - Baseline'!$A$7:$CA$41,COLUMNS('Citrus Margin MAND - Baseline'!$A11:$C11),0)</f>
        <v>777.59271028037381</v>
      </c>
      <c r="AV8" s="104">
        <f>+VLOOKUP($A8,'Citrus Margin MAND - Baseline'!$A$7:$CA$41,COLUMNS('Citrus Margin MAND - Baseline'!$A11:$F11),0)</f>
        <v>45</v>
      </c>
      <c r="AW8" s="62">
        <f>VLOOKUP($A8,'Citrus Margin MAND - Baseline'!$A$7:$CA$41,COLUMNS('Citrus Margin MAND - Baseline'!$A11:$I11),0)</f>
        <v>34991.67196261682</v>
      </c>
      <c r="AX8" s="62">
        <f>VLOOKUP($A8,'Citrus Margin MAND - Baseline'!$A$7:$BC$41,COLUMNS('Citrus Margin MAND - Baseline'!$A11:$AY11),0)</f>
        <v>23685.653756389002</v>
      </c>
      <c r="AY8" s="62">
        <f>+VLOOKUP($A8,'Citrus Margin MAND - Baseline'!$A$7:$BC$41,COLUMNS('Citrus Margin MAND - Baseline'!$A11:$BA11),0)</f>
        <v>11306.018206227818</v>
      </c>
      <c r="AZ8" s="64">
        <f>+VLOOKUP($A8,'Citrus Margin MAND - Baseline'!$A$7:$BC$41,COLUMNS('Citrus Margin MAND - Baseline'!$A11:$BC11),0)</f>
        <v>29.636654982852988</v>
      </c>
      <c r="BA8" s="62">
        <f>+VLOOKUP($A8,'Citrus Margin MAND- Alternative'!$A$7:$BX$41,COLUMNS('Citrus Margin MAND- Alternative'!$A11:$C11),0)</f>
        <v>777.59271028037381</v>
      </c>
      <c r="BB8" s="62">
        <f>'Citrus Margin MAND- Alternative'!F11</f>
        <v>45</v>
      </c>
      <c r="BC8" s="62">
        <f>VLOOKUP($A8,'Citrus Margin MAND- Alternative'!$A$7:$BC$41,COLUMNS('Citrus Margin MAND- Alternative'!$A11:$I11),0)</f>
        <v>34991.67196261682</v>
      </c>
      <c r="BD8" s="62">
        <f>VLOOKUP($A8,'Citrus Margin MAND- Alternative'!$A$7:$BC$41,COLUMNS('Citrus Margin MAND- Alternative'!$A11:$AZ11),0)</f>
        <v>23685.653756389002</v>
      </c>
      <c r="BE8" s="62">
        <f>VLOOKUP($A8,'Citrus Margin MAND- Alternative'!$A$7:$BX$41,COLUMNS('Citrus Margin MAND- Alternative'!$A11:$BC11),0)</f>
        <v>11306.018206227818</v>
      </c>
      <c r="BF8" s="64">
        <f>+VLOOKUP($A8,'Citrus Margin MAND- Alternative'!$A$7:$BX$41,COLUMNS('Citrus Margin MAND- Alternative'!$A11:$BF11),0)</f>
        <v>29.636654982852988</v>
      </c>
    </row>
    <row r="9" spans="1:58" x14ac:dyDescent="0.2">
      <c r="A9" s="8">
        <f t="shared" si="0"/>
        <v>2026</v>
      </c>
      <c r="B9" s="34">
        <f>+VLOOKUP($A9,'Almonds Margin - Baseline'!$A$5:$BL$39,COLUMNS('Almonds Margin - Baseline'!$A15:$B15),0)</f>
        <v>7451.5598579439265</v>
      </c>
      <c r="C9" s="34">
        <f t="shared" si="1"/>
        <v>7.4515598579439262</v>
      </c>
      <c r="D9" s="28">
        <f>+VLOOKUP($A9,'Almonds Margin - Baseline'!$A$5:$BL$39,COLUMNS('Almonds Margin - Baseline'!$A15:$D15),0)</f>
        <v>2.48</v>
      </c>
      <c r="E9" s="28">
        <f>+VLOOKUP($A9,'Almonds Margin - Baseline'!$A$5:$BL$39,COLUMNS('Almonds Margin - Baseline'!$A15:$F15),0)</f>
        <v>18479.868447700937</v>
      </c>
      <c r="F9" s="28">
        <f>+VLOOKUP($A9,'Almonds Margin - Baseline'!$A$5:$BL$39,COLUMNS('Almonds Margin - Baseline'!$A15:$BH15),0)</f>
        <v>16134.889641270471</v>
      </c>
      <c r="G9" s="28">
        <f>+VLOOKUP($A9,'Almonds Margin - Baseline'!$A$5:$BL$39,COLUMNS('Almonds Margin - Baseline'!$A15:$BJ15),0)</f>
        <v>2344.9788064304666</v>
      </c>
      <c r="H9" s="166">
        <f>+VLOOKUP($A9,'Almonds Margin - Baseline'!$A$5:$BL$39,COLUMNS('Almonds Margin - Baseline'!$A15:$BL15),0)</f>
        <v>1.8633876650854726</v>
      </c>
      <c r="I9" s="34">
        <f>+VLOOKUP($A9,'Almonds Margin - Alternative'!$A$7:$BT$41,COLUMNS('Almonds Margin - Alternative'!$A17:$D17),0)</f>
        <v>7451.5598579439265</v>
      </c>
      <c r="J9" s="34">
        <f t="shared" si="2"/>
        <v>7.4515598579439262</v>
      </c>
      <c r="K9" s="28">
        <f>'Almonds Margin - Alternative'!H12</f>
        <v>2.48</v>
      </c>
      <c r="L9" s="28">
        <f>+VLOOKUP($A9,'Almonds Margin - Alternative'!$A$7:$BT$41,COLUMNS('Almonds Margin - Alternative'!$A17:$K17),0)</f>
        <v>18479.868447700937</v>
      </c>
      <c r="M9" s="28">
        <f>+VLOOKUP($A9,'Almonds Margin - Alternative'!$A$7:$BT$41,COLUMNS('Almonds Margin - Alternative'!$A17:$BO17),0)</f>
        <v>16134.889641270471</v>
      </c>
      <c r="N9" s="28">
        <f>+VLOOKUP($A9,'Almonds Margin - Alternative'!$A$7:$BT$41,COLUMNS('Almonds Margin - Alternative'!$A17:$BR17),0)</f>
        <v>2344.9788064304666</v>
      </c>
      <c r="O9" s="158">
        <f>+VLOOKUP($A9,'Almonds Margin - Alternative'!$A$7:$CA$41,COLUMNS('Almonds Margin - Alternative'!$A17:$BU17),0)</f>
        <v>1.8633876650854726</v>
      </c>
      <c r="P9" s="28">
        <f>+VLOOKUP($A9,'Almonds Margin - Alter.Ex.Rate'!$A$7:$BL$41,COLUMNS('Almonds Margin - Alter.Ex.Rate'!$A17:$BJ17),0)</f>
        <v>3794.6999802734426</v>
      </c>
      <c r="Q9" s="34">
        <f>+VLOOKUP($A9,'Almonds Margin - Alter.Ex.Rate'!$A$7:$BL$41,COLUMNS('Almonds Margin - Alter.Ex.Rate'!$A17:$BL17),0)</f>
        <v>1.8949949816645482</v>
      </c>
      <c r="R9" s="34">
        <f>+VLOOKUP($A9,'Almonds Margin - Baseline'!$A$5:$BL$39,COLUMNS( 'Almonds Margin - Baseline'!$A15:$B15),0)</f>
        <v>7451.5598579439265</v>
      </c>
      <c r="S9" s="28">
        <f>+VLOOKUP($A9,'Almonds Margin - Baseline'!$A$5:$BL$39,COLUMNS('Almonds Margin - Baseline'!$A15:$D15),0)</f>
        <v>2.48</v>
      </c>
      <c r="T9" s="28">
        <f>+VLOOKUP($A9,'Almonds Margin - Baseline'!$A$5:$BL$39,COLUMNS('Almonds Margin - Baseline'!$A15:$F15),0)</f>
        <v>18479.868447700937</v>
      </c>
      <c r="U9" s="28" t="e">
        <f>+VLOOKUP($A9,#REF!,COLUMNS(#REF!),0)</f>
        <v>#REF!</v>
      </c>
      <c r="V9" s="62">
        <f>+VLOOKUP($A9,'Grapes Margin - Baseline'!$A$7:$BC$41,COLUMNS('Grapes Margin - Baseline'!$A14:$C14),0)</f>
        <v>3439.1814728971958</v>
      </c>
      <c r="W9" s="104">
        <f>'Grapes Margin - Baseline'!F12</f>
        <v>15.4</v>
      </c>
      <c r="X9" s="62">
        <f>VLOOKUP($A9,'Grapes Margin - Baseline'!$A$7:$BC$41,COLUMNS('Grapes Margin - Baseline'!$A12:$I12),0)</f>
        <v>52963.394682616818</v>
      </c>
      <c r="Y9" s="62">
        <f>VLOOKUP($A9,'Grapes Margin - Baseline'!$A$7:$CA$41,COLUMNS('Grapes Margin - Baseline'!$A12:$BD12),0)</f>
        <v>20444.544359122872</v>
      </c>
      <c r="Z9" s="62">
        <f>+VLOOKUP($A9,'Grapes Margin - Baseline'!$A$7:$CA$41,COLUMNS('Grapes Margin - Baseline'!$A12:$BF12),0)</f>
        <v>32518.850323493945</v>
      </c>
      <c r="AA9" s="64">
        <f>+VLOOKUP($A9,'Grapes Margin - Baseline'!$A$7:$CA$41,COLUMNS('Grapes Margin - Baseline'!$A12:$BH12),0)</f>
        <v>5.6865792485063569</v>
      </c>
      <c r="AB9" s="62">
        <f>+VLOOKUP($A9,'Grapes Margin - Alternative'!$A$7:$BY$41,COLUMNS('Grapes Margin - Alternative'!$A12:$C12),0)</f>
        <v>3439.1814728971958</v>
      </c>
      <c r="AC9" s="62">
        <f>'Grapes Margin - Alternative'!F12</f>
        <v>15.4</v>
      </c>
      <c r="AD9" s="62">
        <f>VLOOKUP($A9,'Grapes Margin - Alternative'!$A$7:$BB$41,COLUMNS('Grapes Margin - Alternative'!$A12:$J12),0)</f>
        <v>52963.394682616818</v>
      </c>
      <c r="AE9" s="62">
        <f>VLOOKUP($A9,'Grapes Margin - Alternative'!$A$7:$BY$41,COLUMNS('Grapes Margin - Alternative'!$A12:$BF12),0)</f>
        <v>20445.075435371629</v>
      </c>
      <c r="AF9" s="62">
        <f>VLOOKUP($A9,'Grapes Margin - Alternative'!$A$7:$BY$41,COLUMNS('Grapes Margin - Alternative'!$A12:$BI12),0)</f>
        <v>32518.319247245188</v>
      </c>
      <c r="AG9" s="64">
        <f>+VLOOKUP($A9,'Grapes Margin - Alternative'!$A$7:$BY$41,COLUMNS('Grapes Margin - Alternative'!$A12:$BL12),0)</f>
        <v>5.6867379567974439</v>
      </c>
      <c r="AH9" s="62">
        <f>+VLOOKUP($A9,'Citrus Margin ORAG - Baseline'!$A$7:$BC$41,COLUMNS('Citrus Margin ORAG - Baseline'!$A12:$C12),0)</f>
        <v>573.19691214953264</v>
      </c>
      <c r="AI9" s="104">
        <f>+VLOOKUP($A9,'Citrus Margin ORAG - Baseline'!$A$7:$BC$41,COLUMNS('Citrus Margin ORAG - Baseline'!$A12:$F12),0)</f>
        <v>40</v>
      </c>
      <c r="AJ9" s="62">
        <f>VLOOKUP($A9,'Citrus Margin ORAG - Baseline'!$A$7:$BC$41,COLUMNS('Citrus Margin ORAG - Baseline'!$A12:$I12),0)</f>
        <v>22927.876485981305</v>
      </c>
      <c r="AK9" s="62">
        <f>VLOOKUP($A9,'Citrus Margin ORAG - Baseline'!$A$7:$BC$41,COLUMNS('Citrus Margin ORAG - Baseline'!$A12:$AY12),0)</f>
        <v>15859.693648813734</v>
      </c>
      <c r="AL9" s="62">
        <f>+VLOOKUP($A9,'Citrus Margin ORAG - Baseline'!$A$7:$BC$41,COLUMNS('Citrus Margin ORAG - Baseline'!$A12:$BA12),0)</f>
        <v>7068.1828371675711</v>
      </c>
      <c r="AM9" s="64">
        <f>+VLOOKUP($A9,'Citrus Margin ORAG - Baseline'!$A$7:$BC$41,COLUMNS('Citrus Margin ORAG - Baseline'!$A12:$BC12),0)</f>
        <v>26.615652390415139</v>
      </c>
      <c r="AN9" s="62">
        <f>+VLOOKUP($A9,'Citrus Margin ORAG- Alternative'!$A$7:$BW$41,COLUMNS('Citrus Margin ORAG- Alternative'!$A12:$E12),0)</f>
        <v>573.19691214953264</v>
      </c>
      <c r="AO9" s="62">
        <f>'Citrus Margin ORAG- Alternative'!H12</f>
        <v>40</v>
      </c>
      <c r="AP9" s="62">
        <f>VLOOKUP($A9,'Citrus Margin ORAG- Alternative'!$A$7:$BB$41,COLUMNS('Citrus Margin ORAG- Alternative'!$A12:$J12),0)</f>
        <v>22927.876485981305</v>
      </c>
      <c r="AQ9" s="62">
        <f>VLOOKUP($A9,'Citrus Margin ORAG- Alternative'!$A$7:$CA$41,COLUMNS('Citrus Margin ORAG- Alternative'!$A12:BA12),0)</f>
        <v>15859.693648813734</v>
      </c>
      <c r="AR9" s="62">
        <f>VLOOKUP($A9,'Citrus Margin ORAG- Alternative'!$A$7:$BW$41,COLUMNS('Citrus Margin ORAG- Alternative'!$A12:$BD12),0)</f>
        <v>7068.1828371675711</v>
      </c>
      <c r="AS9" s="64">
        <f>+VLOOKUP($A9,'Citrus Margin ORAG- Alternative'!$A$7:$BW$41,COLUMNS('Citrus Margin ORAG- Alternative'!$A12:$BG12),0)</f>
        <v>26.615652390415139</v>
      </c>
      <c r="AU9" s="62">
        <f>+VLOOKUP($A9,'Citrus Margin MAND - Baseline'!$A$7:$CA$41,COLUMNS('Citrus Margin MAND - Baseline'!$A12:$C12),0)</f>
        <v>802.47567700934576</v>
      </c>
      <c r="AV9" s="104">
        <f>+VLOOKUP($A9,'Citrus Margin MAND - Baseline'!$A$7:$CA$41,COLUMNS('Citrus Margin MAND - Baseline'!$A12:$F12),0)</f>
        <v>45</v>
      </c>
      <c r="AW9" s="62">
        <f>VLOOKUP($A9,'Citrus Margin MAND - Baseline'!$A$7:$CA$41,COLUMNS('Citrus Margin MAND - Baseline'!$A12:$I12),0)</f>
        <v>36111.405465420561</v>
      </c>
      <c r="AX9" s="62">
        <f>VLOOKUP($A9,'Citrus Margin MAND - Baseline'!$A$7:$BC$41,COLUMNS('Citrus Margin MAND - Baseline'!$A12:$AY12),0)</f>
        <v>24461.403354816037</v>
      </c>
      <c r="AY9" s="62">
        <f>+VLOOKUP($A9,'Citrus Margin MAND - Baseline'!$A$7:$BC$41,COLUMNS('Citrus Margin MAND - Baseline'!$A12:$BA12),0)</f>
        <v>11650.002110604524</v>
      </c>
      <c r="AZ9" s="64">
        <f>+VLOOKUP($A9,'Citrus Margin MAND - Baseline'!$A$7:$BC$41,COLUMNS('Citrus Margin MAND - Baseline'!$A12:$BC12),0)</f>
        <v>29.668160829378603</v>
      </c>
      <c r="BA9" s="62">
        <f>+VLOOKUP($A9,'Citrus Margin MAND- Alternative'!$A$7:$BX$41,COLUMNS('Citrus Margin MAND- Alternative'!$A12:$C12),0)</f>
        <v>802.47567700934576</v>
      </c>
      <c r="BB9" s="62">
        <f>'Citrus Margin MAND- Alternative'!F12</f>
        <v>45</v>
      </c>
      <c r="BC9" s="62">
        <f>VLOOKUP($A9,'Citrus Margin MAND- Alternative'!$A$7:$BC$41,COLUMNS('Citrus Margin MAND- Alternative'!$A12:$I12),0)</f>
        <v>36111.405465420561</v>
      </c>
      <c r="BD9" s="62">
        <f>VLOOKUP($A9,'Citrus Margin MAND- Alternative'!$A$7:$BC$41,COLUMNS('Citrus Margin MAND- Alternative'!$A12:$AZ12),0)</f>
        <v>24461.403354816037</v>
      </c>
      <c r="BE9" s="62">
        <f>VLOOKUP($A9,'Citrus Margin MAND- Alternative'!$A$7:$BX$41,COLUMNS('Citrus Margin MAND- Alternative'!$A12:$BC12),0)</f>
        <v>11650.002110604524</v>
      </c>
      <c r="BF9" s="64">
        <f>+VLOOKUP($A9,'Citrus Margin MAND- Alternative'!$A$7:$BX$41,COLUMNS('Citrus Margin MAND- Alternative'!$A12:$BF12),0)</f>
        <v>29.668160829378603</v>
      </c>
    </row>
    <row r="10" spans="1:58" x14ac:dyDescent="0.2">
      <c r="A10" s="8">
        <f t="shared" si="0"/>
        <v>2027</v>
      </c>
      <c r="B10" s="34">
        <f>+VLOOKUP($A10,'Almonds Margin - Baseline'!$A$5:$BL$39,COLUMNS('Almonds Margin - Baseline'!$A16:$B16),0)</f>
        <v>7690.009773398132</v>
      </c>
      <c r="C10" s="34">
        <f t="shared" si="1"/>
        <v>7.6900097733981321</v>
      </c>
      <c r="D10" s="28">
        <f>+VLOOKUP($A10,'Almonds Margin - Baseline'!$A$5:$BL$39,COLUMNS('Almonds Margin - Baseline'!$A16:$D16),0)</f>
        <v>2.48</v>
      </c>
      <c r="E10" s="28">
        <f>+VLOOKUP($A10,'Almonds Margin - Baseline'!$A$5:$BL$39,COLUMNS('Almonds Margin - Baseline'!$A16:$F16),0)</f>
        <v>19071.224238027367</v>
      </c>
      <c r="F10" s="28">
        <f>+VLOOKUP($A10,'Almonds Margin - Baseline'!$A$5:$BL$39,COLUMNS('Almonds Margin - Baseline'!$A16:$BH16),0)</f>
        <v>16687.11484238254</v>
      </c>
      <c r="G10" s="28">
        <f>+VLOOKUP($A10,'Almonds Margin - Baseline'!$A$5:$BL$39,COLUMNS('Almonds Margin - Baseline'!$A16:$BJ16),0)</f>
        <v>2384.1093956448276</v>
      </c>
      <c r="H10" s="166">
        <f>+VLOOKUP($A10,'Almonds Margin - Baseline'!$A$5:$BL$39,COLUMNS('Almonds Margin - Baseline'!$A16:$BL16),0)</f>
        <v>1.8682279705151066</v>
      </c>
      <c r="I10" s="34">
        <f>+VLOOKUP($A10,'Almonds Margin - Alternative'!$A$7:$BT$41,COLUMNS('Almonds Margin - Alternative'!$A18:$D18),0)</f>
        <v>7690.009773398132</v>
      </c>
      <c r="J10" s="34">
        <f t="shared" si="2"/>
        <v>7.6900097733981321</v>
      </c>
      <c r="K10" s="28">
        <f>'Almonds Margin - Alternative'!H13</f>
        <v>2.48</v>
      </c>
      <c r="L10" s="28">
        <f>+VLOOKUP($A10,'Almonds Margin - Alternative'!$A$7:$BT$41,COLUMNS('Almonds Margin - Alternative'!$A18:$K18),0)</f>
        <v>19071.224238027367</v>
      </c>
      <c r="M10" s="28">
        <f>+VLOOKUP($A10,'Almonds Margin - Alternative'!$A$7:$BT$41,COLUMNS('Almonds Margin - Alternative'!$A18:$BO18),0)</f>
        <v>16687.11484238254</v>
      </c>
      <c r="N10" s="28">
        <f>+VLOOKUP($A10,'Almonds Margin - Alternative'!$A$7:$BT$41,COLUMNS('Almonds Margin - Alternative'!$A18:$BR18),0)</f>
        <v>2384.1093956448276</v>
      </c>
      <c r="O10" s="158">
        <f>+VLOOKUP($A10,'Almonds Margin - Alternative'!$A$7:$CA$41,COLUMNS('Almonds Margin - Alternative'!$A18:$BU18),0)</f>
        <v>1.8682279705151066</v>
      </c>
      <c r="P10" s="28">
        <f>+VLOOKUP($A10,'Almonds Margin - Alter.Ex.Rate'!$A$7:$BL$41,COLUMNS('Almonds Margin - Alter.Ex.Rate'!$A18:$BJ18),0)</f>
        <v>3970.7606515310836</v>
      </c>
      <c r="Q10" s="34">
        <f>+VLOOKUP($A10,'Almonds Margin - Alter.Ex.Rate'!$A$7:$BL$41,COLUMNS('Almonds Margin - Alter.Ex.Rate'!$A18:$BL18),0)</f>
        <v>1.8871060152162893</v>
      </c>
      <c r="R10" s="34">
        <f>+VLOOKUP($A10,'Almonds Margin - Baseline'!$A$5:$BL$39,COLUMNS( 'Almonds Margin - Baseline'!$A16:$B16),0)</f>
        <v>7690.009773398132</v>
      </c>
      <c r="S10" s="28">
        <f>+VLOOKUP($A10,'Almonds Margin - Baseline'!$A$5:$BL$39,COLUMNS('Almonds Margin - Baseline'!$A16:$D16),0)</f>
        <v>2.48</v>
      </c>
      <c r="T10" s="28">
        <f>+VLOOKUP($A10,'Almonds Margin - Baseline'!$A$5:$BL$39,COLUMNS('Almonds Margin - Baseline'!$A16:$F16),0)</f>
        <v>19071.224238027367</v>
      </c>
      <c r="U10" s="28" t="e">
        <f>+VLOOKUP($A10,#REF!,COLUMNS(#REF!),0)</f>
        <v>#REF!</v>
      </c>
      <c r="V10" s="62">
        <f>+VLOOKUP($A10,'Grapes Margin - Baseline'!$A$7:$BC$41,COLUMNS('Grapes Margin - Baseline'!$A15:$C15),0)</f>
        <v>3549.2352800299059</v>
      </c>
      <c r="W10" s="104">
        <f>'Grapes Margin - Baseline'!F13</f>
        <v>15.4</v>
      </c>
      <c r="X10" s="62">
        <f>VLOOKUP($A10,'Grapes Margin - Baseline'!$A$7:$BC$41,COLUMNS('Grapes Margin - Baseline'!$A13:$I13),0)</f>
        <v>54658.223312460548</v>
      </c>
      <c r="Y10" s="62">
        <f>VLOOKUP($A10,'Grapes Margin - Baseline'!$A$7:$CA$41,COLUMNS('Grapes Margin - Baseline'!$A13:$BD13),0)</f>
        <v>21115.35194045063</v>
      </c>
      <c r="Z10" s="62">
        <f>+VLOOKUP($A10,'Grapes Margin - Baseline'!$A$7:$CA$41,COLUMNS('Grapes Margin - Baseline'!$A13:$BF13),0)</f>
        <v>33542.871372009919</v>
      </c>
      <c r="AA10" s="64">
        <f>+VLOOKUP($A10,'Grapes Margin - Baseline'!$A$7:$CA$41,COLUMNS('Grapes Margin - Baseline'!$A13:$BH13),0)</f>
        <v>5.6922278682320542</v>
      </c>
      <c r="AB10" s="62">
        <f>+VLOOKUP($A10,'Grapes Margin - Alternative'!$A$7:$BY$41,COLUMNS('Grapes Margin - Alternative'!$A13:$C13),0)</f>
        <v>3549.2352800299059</v>
      </c>
      <c r="AC10" s="62">
        <f>'Grapes Margin - Alternative'!F13</f>
        <v>15.4</v>
      </c>
      <c r="AD10" s="62">
        <f>VLOOKUP($A10,'Grapes Margin - Alternative'!$A$7:$BB$41,COLUMNS('Grapes Margin - Alternative'!$A13:$J13),0)</f>
        <v>54658.223312460548</v>
      </c>
      <c r="AE10" s="62">
        <f>VLOOKUP($A10,'Grapes Margin - Alternative'!$A$7:$BY$41,COLUMNS('Grapes Margin - Alternative'!$A13:$BF13),0)</f>
        <v>21115.905344237319</v>
      </c>
      <c r="AF10" s="62">
        <f>VLOOKUP($A10,'Grapes Margin - Alternative'!$A$7:$BY$41,COLUMNS('Grapes Margin - Alternative'!$A13:$BI13),0)</f>
        <v>33542.317968223229</v>
      </c>
      <c r="AG10" s="64">
        <f>+VLOOKUP($A10,'Grapes Margin - Alternative'!$A$7:$BY$41,COLUMNS('Grapes Margin - Alternative'!$A13:$BL13),0)</f>
        <v>5.6923881045289839</v>
      </c>
      <c r="AH10" s="62">
        <f>+VLOOKUP($A10,'Citrus Margin ORAG - Baseline'!$A$7:$BC$41,COLUMNS('Citrus Margin ORAG - Baseline'!$A13:$C13),0)</f>
        <v>591.53921333831772</v>
      </c>
      <c r="AI10" s="104">
        <f>+VLOOKUP($A10,'Citrus Margin ORAG - Baseline'!$A$7:$BC$41,COLUMNS('Citrus Margin ORAG - Baseline'!$A13:$F13),0)</f>
        <v>40</v>
      </c>
      <c r="AJ10" s="62">
        <f>VLOOKUP($A10,'Citrus Margin ORAG - Baseline'!$A$7:$BC$41,COLUMNS('Citrus Margin ORAG - Baseline'!$A13:$I13),0)</f>
        <v>23661.568533532707</v>
      </c>
      <c r="AK10" s="62">
        <f>VLOOKUP($A10,'Citrus Margin ORAG - Baseline'!$A$7:$BC$41,COLUMNS('Citrus Margin ORAG - Baseline'!$A13:$AY13),0)</f>
        <v>16385.995616879121</v>
      </c>
      <c r="AL10" s="62">
        <f>+VLOOKUP($A10,'Citrus Margin ORAG - Baseline'!$A$7:$BC$41,COLUMNS('Citrus Margin ORAG - Baseline'!$A13:$BA13),0)</f>
        <v>7275.5729166535857</v>
      </c>
      <c r="AM10" s="64">
        <f>+VLOOKUP($A10,'Citrus Margin ORAG - Baseline'!$A$7:$BC$41,COLUMNS('Citrus Margin ORAG - Baseline'!$A13:$BC13),0)</f>
        <v>26.661214514595642</v>
      </c>
      <c r="AN10" s="62">
        <f>+VLOOKUP($A10,'Citrus Margin ORAG- Alternative'!$A$7:$BW$41,COLUMNS('Citrus Margin ORAG- Alternative'!$A13:$E13),0)</f>
        <v>591.53921333831772</v>
      </c>
      <c r="AO10" s="62">
        <f>'Citrus Margin ORAG- Alternative'!H13</f>
        <v>40</v>
      </c>
      <c r="AP10" s="62">
        <f>VLOOKUP($A10,'Citrus Margin ORAG- Alternative'!$A$7:$BB$41,COLUMNS('Citrus Margin ORAG- Alternative'!$A13:$J13),0)</f>
        <v>23661.568533532707</v>
      </c>
      <c r="AQ10" s="62">
        <f>VLOOKUP($A10,'Citrus Margin ORAG- Alternative'!$A$7:$CA$41,COLUMNS('Citrus Margin ORAG- Alternative'!$A13:BA13),0)</f>
        <v>16385.995616879121</v>
      </c>
      <c r="AR10" s="62">
        <f>VLOOKUP($A10,'Citrus Margin ORAG- Alternative'!$A$7:$BW$41,COLUMNS('Citrus Margin ORAG- Alternative'!$A13:$BD13),0)</f>
        <v>7275.5729166535857</v>
      </c>
      <c r="AS10" s="64">
        <f>+VLOOKUP($A10,'Citrus Margin ORAG- Alternative'!$A$7:$BW$41,COLUMNS('Citrus Margin ORAG- Alternative'!$A13:$BG13),0)</f>
        <v>26.661214514595642</v>
      </c>
      <c r="AU10" s="62">
        <f>+VLOOKUP($A10,'Citrus Margin MAND - Baseline'!$A$7:$CA$41,COLUMNS('Citrus Margin MAND - Baseline'!$A13:$C13),0)</f>
        <v>828.15489867364488</v>
      </c>
      <c r="AV10" s="104">
        <f>+VLOOKUP($A10,'Citrus Margin MAND - Baseline'!$A$7:$CA$41,COLUMNS('Citrus Margin MAND - Baseline'!$A13:$F13),0)</f>
        <v>45</v>
      </c>
      <c r="AW10" s="62">
        <f>VLOOKUP($A10,'Citrus Margin MAND - Baseline'!$A$7:$CA$41,COLUMNS('Citrus Margin MAND - Baseline'!$A13:$I13),0)</f>
        <v>37266.97044031402</v>
      </c>
      <c r="AX10" s="62">
        <f>VLOOKUP($A10,'Citrus Margin MAND - Baseline'!$A$7:$BC$41,COLUMNS('Citrus Margin MAND - Baseline'!$A13:$AY13),0)</f>
        <v>25262.978254019014</v>
      </c>
      <c r="AY10" s="62">
        <f>+VLOOKUP($A10,'Citrus Margin MAND - Baseline'!$A$7:$BC$41,COLUMNS('Citrus Margin MAND - Baseline'!$A13:$BA13),0)</f>
        <v>12003.992186295007</v>
      </c>
      <c r="AZ10" s="64">
        <f>+VLOOKUP($A10,'Citrus Margin MAND - Baseline'!$A$7:$BC$41,COLUMNS('Citrus Margin MAND - Baseline'!$A13:$BC13),0)</f>
        <v>29.699944601562599</v>
      </c>
      <c r="BA10" s="62">
        <f>+VLOOKUP($A10,'Citrus Margin MAND- Alternative'!$A$7:$BX$41,COLUMNS('Citrus Margin MAND- Alternative'!$A13:$C13),0)</f>
        <v>828.15489867364488</v>
      </c>
      <c r="BB10" s="62">
        <f>'Citrus Margin MAND- Alternative'!F13</f>
        <v>45</v>
      </c>
      <c r="BC10" s="62">
        <f>VLOOKUP($A10,'Citrus Margin MAND- Alternative'!$A$7:$BC$41,COLUMNS('Citrus Margin MAND- Alternative'!$A13:$I13),0)</f>
        <v>37266.97044031402</v>
      </c>
      <c r="BD10" s="62">
        <f>VLOOKUP($A10,'Citrus Margin MAND- Alternative'!$A$7:$BC$41,COLUMNS('Citrus Margin MAND- Alternative'!$A13:$AZ13),0)</f>
        <v>25262.978254019014</v>
      </c>
      <c r="BE10" s="62">
        <f>VLOOKUP($A10,'Citrus Margin MAND- Alternative'!$A$7:$BX$41,COLUMNS('Citrus Margin MAND- Alternative'!$A13:$BC13),0)</f>
        <v>12003.992186295007</v>
      </c>
      <c r="BF10" s="64">
        <f>+VLOOKUP($A10,'Citrus Margin MAND- Alternative'!$A$7:$BX$41,COLUMNS('Citrus Margin MAND- Alternative'!$A13:$BF13),0)</f>
        <v>29.699944601562599</v>
      </c>
    </row>
    <row r="11" spans="1:58" x14ac:dyDescent="0.2">
      <c r="A11" s="8">
        <f t="shared" si="0"/>
        <v>2028</v>
      </c>
      <c r="B11" s="34">
        <f>+VLOOKUP($A11,'Almonds Margin - Baseline'!$A$5:$BL$39,COLUMNS('Almonds Margin - Baseline'!$A17:$B17),0)</f>
        <v>7936.0900861468717</v>
      </c>
      <c r="C11" s="34">
        <f t="shared" si="1"/>
        <v>7.9360900861468719</v>
      </c>
      <c r="D11" s="28">
        <f>+VLOOKUP($A11,'Almonds Margin - Baseline'!$A$5:$BL$39,COLUMNS('Almonds Margin - Baseline'!$A17:$D17),0)</f>
        <v>2.48</v>
      </c>
      <c r="E11" s="28">
        <f>+VLOOKUP($A11,'Almonds Margin - Baseline'!$A$5:$BL$39,COLUMNS('Almonds Margin - Baseline'!$A17:$F17),0)</f>
        <v>19681.503413644241</v>
      </c>
      <c r="F11" s="28">
        <f>+VLOOKUP($A11,'Almonds Margin - Baseline'!$A$5:$BL$39,COLUMNS('Almonds Margin - Baseline'!$A17:$BH17),0)</f>
        <v>17244.727194117793</v>
      </c>
      <c r="G11" s="28">
        <f>+VLOOKUP($A11,'Almonds Margin - Baseline'!$A$5:$BL$39,COLUMNS('Almonds Margin - Baseline'!$A17:$BJ17),0)</f>
        <v>2436.7762195264477</v>
      </c>
      <c r="H11" s="166">
        <f>+VLOOKUP($A11,'Almonds Margin - Baseline'!$A$5:$BL$39,COLUMNS('Almonds Margin - Baseline'!$A17:$BL17),0)</f>
        <v>1.8713685052244275</v>
      </c>
      <c r="I11" s="34">
        <f>+VLOOKUP($A11,'Almonds Margin - Alternative'!$A$7:$BT$41,COLUMNS('Almonds Margin - Alternative'!$A19:$D19),0)</f>
        <v>7936.0900861468717</v>
      </c>
      <c r="J11" s="34">
        <f t="shared" si="2"/>
        <v>7.9360900861468719</v>
      </c>
      <c r="K11" s="28">
        <f>'Almonds Margin - Alternative'!H14</f>
        <v>2.48</v>
      </c>
      <c r="L11" s="28">
        <f>+VLOOKUP($A11,'Almonds Margin - Alternative'!$A$7:$BT$41,COLUMNS('Almonds Margin - Alternative'!$A19:$K19),0)</f>
        <v>19681.503413644241</v>
      </c>
      <c r="M11" s="28">
        <f>+VLOOKUP($A11,'Almonds Margin - Alternative'!$A$7:$BT$41,COLUMNS('Almonds Margin - Alternative'!$A19:$BO19),0)</f>
        <v>17244.727194117793</v>
      </c>
      <c r="N11" s="28">
        <f>+VLOOKUP($A11,'Almonds Margin - Alternative'!$A$7:$BT$41,COLUMNS('Almonds Margin - Alternative'!$A19:$BR19),0)</f>
        <v>2436.7762195264477</v>
      </c>
      <c r="O11" s="158">
        <f>+VLOOKUP($A11,'Almonds Margin - Alternative'!$A$7:$CA$41,COLUMNS('Almonds Margin - Alternative'!$A19:$BU19),0)</f>
        <v>1.8713685052244275</v>
      </c>
      <c r="P11" s="28">
        <f>+VLOOKUP($A11,'Almonds Margin - Alter.Ex.Rate'!$A$7:$BL$41,COLUMNS('Almonds Margin - Alter.Ex.Rate'!$A19:$BJ19),0)</f>
        <v>4249.104063235518</v>
      </c>
      <c r="Q11" s="34">
        <f>+VLOOKUP($A11,'Almonds Margin - Alter.Ex.Rate'!$A$7:$BL$41,COLUMNS('Almonds Margin - Alter.Ex.Rate'!$A19:$BL19),0)</f>
        <v>1.865619708036478</v>
      </c>
      <c r="R11" s="34">
        <f>+VLOOKUP($A11,'Almonds Margin - Baseline'!$A$5:$BL$39,COLUMNS( 'Almonds Margin - Baseline'!$A17:$B17),0)</f>
        <v>7936.0900861468717</v>
      </c>
      <c r="S11" s="28">
        <f>+VLOOKUP($A11,'Almonds Margin - Baseline'!$A$5:$BL$39,COLUMNS('Almonds Margin - Baseline'!$A17:$D17),0)</f>
        <v>2.48</v>
      </c>
      <c r="T11" s="28">
        <f>+VLOOKUP($A11,'Almonds Margin - Baseline'!$A$5:$BL$39,COLUMNS('Almonds Margin - Baseline'!$A17:$F17),0)</f>
        <v>19681.503413644241</v>
      </c>
      <c r="U11" s="28" t="e">
        <f>+VLOOKUP($A11,#REF!,COLUMNS(#REF!),0)</f>
        <v>#REF!</v>
      </c>
      <c r="V11" s="62">
        <f>+VLOOKUP($A11,'Grapes Margin - Baseline'!$A$7:$BC$41,COLUMNS('Grapes Margin - Baseline'!$A16:$C16),0)</f>
        <v>3662.8108089908628</v>
      </c>
      <c r="W11" s="104">
        <f>'Grapes Margin - Baseline'!F14</f>
        <v>15.4</v>
      </c>
      <c r="X11" s="62">
        <f>VLOOKUP($A11,'Grapes Margin - Baseline'!$A$7:$BC$41,COLUMNS('Grapes Margin - Baseline'!$A14:$I14),0)</f>
        <v>56407.28645845929</v>
      </c>
      <c r="Y11" s="62">
        <f>VLOOKUP($A11,'Grapes Margin - Baseline'!$A$7:$CA$41,COLUMNS('Grapes Margin - Baseline'!$A14:$BD14),0)</f>
        <v>21800.518243835966</v>
      </c>
      <c r="Z11" s="62">
        <f>+VLOOKUP($A11,'Grapes Margin - Baseline'!$A$7:$CA$41,COLUMNS('Grapes Margin - Baseline'!$A14:$BF14),0)</f>
        <v>34606.768214623327</v>
      </c>
      <c r="AA11" s="64">
        <f>+VLOOKUP($A11,'Grapes Margin - Baseline'!$A$7:$CA$41,COLUMNS('Grapes Margin - Baseline'!$A14:$BH14),0)</f>
        <v>5.6957064006479863</v>
      </c>
      <c r="AB11" s="62">
        <f>+VLOOKUP($A11,'Grapes Margin - Alternative'!$A$7:$BY$41,COLUMNS('Grapes Margin - Alternative'!$A14:$C14),0)</f>
        <v>3662.8108089908628</v>
      </c>
      <c r="AC11" s="62">
        <f>'Grapes Margin - Alternative'!F14</f>
        <v>15.4</v>
      </c>
      <c r="AD11" s="62">
        <f>VLOOKUP($A11,'Grapes Margin - Alternative'!$A$7:$BB$41,COLUMNS('Grapes Margin - Alternative'!$A14:$J14),0)</f>
        <v>56407.28645845929</v>
      </c>
      <c r="AE11" s="62">
        <f>VLOOKUP($A11,'Grapes Margin - Alternative'!$A$7:$BY$41,COLUMNS('Grapes Margin - Alternative'!$A14:$BF14),0)</f>
        <v>21801.092927545804</v>
      </c>
      <c r="AF11" s="62">
        <f>VLOOKUP($A11,'Grapes Margin - Alternative'!$A$7:$BY$41,COLUMNS('Grapes Margin - Alternative'!$A14:$BI14),0)</f>
        <v>34606.193530913486</v>
      </c>
      <c r="AG11" s="64">
        <f>+VLOOKUP($A11,'Grapes Margin - Alternative'!$A$7:$BY$41,COLUMNS('Grapes Margin - Alternative'!$A14:$BL14),0)</f>
        <v>5.695867622933628</v>
      </c>
      <c r="AH11" s="62">
        <f>+VLOOKUP($A11,'Citrus Margin ORAG - Baseline'!$A$7:$BC$41,COLUMNS('Citrus Margin ORAG - Baseline'!$A14:$C14),0)</f>
        <v>610.4684681651438</v>
      </c>
      <c r="AI11" s="104">
        <f>+VLOOKUP($A11,'Citrus Margin ORAG - Baseline'!$A$7:$BC$41,COLUMNS('Citrus Margin ORAG - Baseline'!$A14:$F14),0)</f>
        <v>40</v>
      </c>
      <c r="AJ11" s="62">
        <f>VLOOKUP($A11,'Citrus Margin ORAG - Baseline'!$A$7:$BC$41,COLUMNS('Citrus Margin ORAG - Baseline'!$A14:$I14),0)</f>
        <v>24418.738726605752</v>
      </c>
      <c r="AK11" s="62">
        <f>VLOOKUP($A11,'Citrus Margin ORAG - Baseline'!$A$7:$BC$41,COLUMNS('Citrus Margin ORAG - Baseline'!$A14:$AY14),0)</f>
        <v>16920.68881918714</v>
      </c>
      <c r="AL11" s="62">
        <f>+VLOOKUP($A11,'Citrus Margin ORAG - Baseline'!$A$7:$BC$41,COLUMNS('Citrus Margin ORAG - Baseline'!$A14:$BA14),0)</f>
        <v>7498.0499074186118</v>
      </c>
      <c r="AM11" s="64">
        <f>+VLOOKUP($A11,'Citrus Margin ORAG - Baseline'!$A$7:$BC$41,COLUMNS('Citrus Margin ORAG - Baseline'!$A14:$BC14),0)</f>
        <v>26.690776581390683</v>
      </c>
      <c r="AN11" s="62">
        <f>+VLOOKUP($A11,'Citrus Margin ORAG- Alternative'!$A$7:$BW$41,COLUMNS('Citrus Margin ORAG- Alternative'!$A14:$E14),0)</f>
        <v>610.4684681651438</v>
      </c>
      <c r="AO11" s="62">
        <f>'Citrus Margin ORAG- Alternative'!H14</f>
        <v>40</v>
      </c>
      <c r="AP11" s="62">
        <f>VLOOKUP($A11,'Citrus Margin ORAG- Alternative'!$A$7:$BB$41,COLUMNS('Citrus Margin ORAG- Alternative'!$A14:$J14),0)</f>
        <v>24418.738726605752</v>
      </c>
      <c r="AQ11" s="62">
        <f>VLOOKUP($A11,'Citrus Margin ORAG- Alternative'!$A$7:$CA$41,COLUMNS('Citrus Margin ORAG- Alternative'!$A14:BA14),0)</f>
        <v>16920.68881918714</v>
      </c>
      <c r="AR11" s="62">
        <f>VLOOKUP($A11,'Citrus Margin ORAG- Alternative'!$A$7:$BW$41,COLUMNS('Citrus Margin ORAG- Alternative'!$A14:$BD14),0)</f>
        <v>7498.0499074186118</v>
      </c>
      <c r="AS11" s="64">
        <f>+VLOOKUP($A11,'Citrus Margin ORAG- Alternative'!$A$7:$BW$41,COLUMNS('Citrus Margin ORAG- Alternative'!$A14:$BG14),0)</f>
        <v>26.690776581390683</v>
      </c>
      <c r="AU11" s="62">
        <f>+VLOOKUP($A11,'Citrus Margin MAND - Baseline'!$A$7:$CA$41,COLUMNS('Citrus Margin MAND - Baseline'!$A14:$C14),0)</f>
        <v>854.65585543120153</v>
      </c>
      <c r="AV11" s="104">
        <f>+VLOOKUP($A11,'Citrus Margin MAND - Baseline'!$A$7:$CA$41,COLUMNS('Citrus Margin MAND - Baseline'!$A14:$F14),0)</f>
        <v>45</v>
      </c>
      <c r="AW11" s="62">
        <f>VLOOKUP($A11,'Citrus Margin MAND - Baseline'!$A$7:$CA$41,COLUMNS('Citrus Margin MAND - Baseline'!$A14:$I14),0)</f>
        <v>38459.513494404069</v>
      </c>
      <c r="AX11" s="62">
        <f>VLOOKUP($A11,'Citrus Margin MAND - Baseline'!$A$7:$BC$41,COLUMNS('Citrus Margin MAND - Baseline'!$A14:$AY14),0)</f>
        <v>26081.823755613506</v>
      </c>
      <c r="AY11" s="62">
        <f>+VLOOKUP($A11,'Citrus Margin MAND - Baseline'!$A$7:$BC$41,COLUMNS('Citrus Margin MAND - Baseline'!$A14:$BA14),0)</f>
        <v>12377.689738790563</v>
      </c>
      <c r="AZ11" s="64">
        <f>+VLOOKUP($A11,'Citrus Margin MAND - Baseline'!$A$7:$BC$41,COLUMNS('Citrus Margin MAND - Baseline'!$A14:$BC14),0)</f>
        <v>29.72056686211786</v>
      </c>
      <c r="BA11" s="62">
        <f>+VLOOKUP($A11,'Citrus Margin MAND- Alternative'!$A$7:$BX$41,COLUMNS('Citrus Margin MAND- Alternative'!$A14:$C14),0)</f>
        <v>854.65585543120153</v>
      </c>
      <c r="BB11" s="62">
        <f>'Citrus Margin MAND- Alternative'!F14</f>
        <v>45</v>
      </c>
      <c r="BC11" s="62">
        <f>VLOOKUP($A11,'Citrus Margin MAND- Alternative'!$A$7:$BC$41,COLUMNS('Citrus Margin MAND- Alternative'!$A14:$I14),0)</f>
        <v>38459.513494404069</v>
      </c>
      <c r="BD11" s="62">
        <f>VLOOKUP($A11,'Citrus Margin MAND- Alternative'!$A$7:$BC$41,COLUMNS('Citrus Margin MAND- Alternative'!$A14:$AZ14),0)</f>
        <v>26081.823755613506</v>
      </c>
      <c r="BE11" s="62">
        <f>VLOOKUP($A11,'Citrus Margin MAND- Alternative'!$A$7:$BX$41,COLUMNS('Citrus Margin MAND- Alternative'!$A14:$BC14),0)</f>
        <v>12377.689738790563</v>
      </c>
      <c r="BF11" s="64">
        <f>+VLOOKUP($A11,'Citrus Margin MAND- Alternative'!$A$7:$BX$41,COLUMNS('Citrus Margin MAND- Alternative'!$A14:$BF14),0)</f>
        <v>29.72056686211786</v>
      </c>
    </row>
    <row r="12" spans="1:58" x14ac:dyDescent="0.2">
      <c r="A12" s="8">
        <f t="shared" si="0"/>
        <v>2029</v>
      </c>
      <c r="B12" s="34">
        <f>+VLOOKUP($A12,'Almonds Margin - Baseline'!$A$5:$BL$39,COLUMNS('Almonds Margin - Baseline'!$A18:$B18),0)</f>
        <v>8190.0449689035722</v>
      </c>
      <c r="C12" s="34">
        <f t="shared" si="1"/>
        <v>8.1900449689035728</v>
      </c>
      <c r="D12" s="28">
        <f>+VLOOKUP($A12,'Almonds Margin - Baseline'!$A$5:$BL$39,COLUMNS('Almonds Margin - Baseline'!$A18:$D18),0)</f>
        <v>2.48</v>
      </c>
      <c r="E12" s="28">
        <f>+VLOOKUP($A12,'Almonds Margin - Baseline'!$A$5:$BL$39,COLUMNS('Almonds Margin - Baseline'!$A18:$F18),0)</f>
        <v>20311.31152288086</v>
      </c>
      <c r="F12" s="28">
        <f>+VLOOKUP($A12,'Almonds Margin - Baseline'!$A$5:$BL$39,COLUMNS('Almonds Margin - Baseline'!$A18:$BH18),0)</f>
        <v>17744.752878379091</v>
      </c>
      <c r="G12" s="28">
        <f>+VLOOKUP($A12,'Almonds Margin - Baseline'!$A$5:$BL$39,COLUMNS('Almonds Margin - Baseline'!$A18:$BJ18),0)</f>
        <v>2566.5586445017689</v>
      </c>
      <c r="H12" s="166">
        <f>+VLOOKUP($A12,'Almonds Margin - Baseline'!$A$5:$BL$39,COLUMNS('Almonds Margin - Baseline'!$A18:$BL18),0)</f>
        <v>1.8651908884524067</v>
      </c>
      <c r="I12" s="34">
        <f>+VLOOKUP($A12,'Almonds Margin - Alternative'!$A$7:$BT$41,COLUMNS('Almonds Margin - Alternative'!$A20:$D20),0)</f>
        <v>8190.0449689035722</v>
      </c>
      <c r="J12" s="34">
        <f t="shared" si="2"/>
        <v>8.1900449689035728</v>
      </c>
      <c r="K12" s="28">
        <f>'Almonds Margin - Alternative'!H15</f>
        <v>2.48</v>
      </c>
      <c r="L12" s="28">
        <f>+VLOOKUP($A12,'Almonds Margin - Alternative'!$A$7:$BT$41,COLUMNS('Almonds Margin - Alternative'!$A20:$K20),0)</f>
        <v>20311.31152288086</v>
      </c>
      <c r="M12" s="28">
        <f>+VLOOKUP($A12,'Almonds Margin - Alternative'!$A$7:$BT$41,COLUMNS('Almonds Margin - Alternative'!$A20:$BO20),0)</f>
        <v>17744.752878379091</v>
      </c>
      <c r="N12" s="28">
        <f>+VLOOKUP($A12,'Almonds Margin - Alternative'!$A$7:$BT$41,COLUMNS('Almonds Margin - Alternative'!$A20:$BR20),0)</f>
        <v>2566.5586445017689</v>
      </c>
      <c r="O12" s="158">
        <f>+VLOOKUP($A12,'Almonds Margin - Alternative'!$A$7:$CA$41,COLUMNS('Almonds Margin - Alternative'!$A20:$BU20),0)</f>
        <v>1.8651908884524067</v>
      </c>
      <c r="P12" s="28">
        <f>+VLOOKUP($A12,'Almonds Margin - Alter.Ex.Rate'!$A$7:$BL$41,COLUMNS('Almonds Margin - Alter.Ex.Rate'!$A20:$BJ20),0)</f>
        <v>4540.0719613366819</v>
      </c>
      <c r="Q12" s="34">
        <f>+VLOOKUP($A12,'Almonds Margin - Alter.Ex.Rate'!$A$7:$BL$41,COLUMNS('Almonds Margin - Alter.Ex.Rate'!$A20:$BL20),0)</f>
        <v>1.8442839893267982</v>
      </c>
      <c r="R12" s="34">
        <f>+VLOOKUP($A12,'Almonds Margin - Baseline'!$A$5:$BL$39,COLUMNS( 'Almonds Margin - Baseline'!$A18:$B18),0)</f>
        <v>8190.0449689035722</v>
      </c>
      <c r="S12" s="28">
        <f>+VLOOKUP($A12,'Almonds Margin - Baseline'!$A$5:$BL$39,COLUMNS('Almonds Margin - Baseline'!$A18:$D18),0)</f>
        <v>2.48</v>
      </c>
      <c r="T12" s="28">
        <f>+VLOOKUP($A12,'Almonds Margin - Baseline'!$A$5:$BL$39,COLUMNS('Almonds Margin - Baseline'!$A18:$F18),0)</f>
        <v>20311.31152288086</v>
      </c>
      <c r="U12" s="28" t="e">
        <f>+VLOOKUP($A12,#REF!,COLUMNS(#REF!),0)</f>
        <v>#REF!</v>
      </c>
      <c r="V12" s="62">
        <f>+VLOOKUP($A12,'Grapes Margin - Baseline'!$A$7:$BC$41,COLUMNS('Grapes Margin - Baseline'!$A17:$C17),0)</f>
        <v>3780.0207548785702</v>
      </c>
      <c r="W12" s="104">
        <f>'Grapes Margin - Baseline'!F15</f>
        <v>15.4</v>
      </c>
      <c r="X12" s="62">
        <f>VLOOKUP($A12,'Grapes Margin - Baseline'!$A$7:$BC$41,COLUMNS('Grapes Margin - Baseline'!$A15:$I15),0)</f>
        <v>58212.319625129981</v>
      </c>
      <c r="Y12" s="62">
        <f>VLOOKUP($A12,'Grapes Margin - Baseline'!$A$7:$CA$41,COLUMNS('Grapes Margin - Baseline'!$A15:$BD15),0)</f>
        <v>22463.968584801711</v>
      </c>
      <c r="Z12" s="62">
        <f>+VLOOKUP($A12,'Grapes Margin - Baseline'!$A$7:$CA$41,COLUMNS('Grapes Margin - Baseline'!$A15:$BF15),0)</f>
        <v>35748.351040328271</v>
      </c>
      <c r="AA12" s="64">
        <f>+VLOOKUP($A12,'Grapes Margin - Baseline'!$A$7:$CA$41,COLUMNS('Grapes Margin - Baseline'!$A15:$BH15),0)</f>
        <v>5.6872140192270022</v>
      </c>
      <c r="AB12" s="62">
        <f>+VLOOKUP($A12,'Grapes Margin - Alternative'!$A$7:$BY$41,COLUMNS('Grapes Margin - Alternative'!$A15:$C15),0)</f>
        <v>3780.0207548785702</v>
      </c>
      <c r="AC12" s="62">
        <f>'Grapes Margin - Alternative'!F15</f>
        <v>15.4</v>
      </c>
      <c r="AD12" s="62">
        <f>VLOOKUP($A12,'Grapes Margin - Alternative'!$A$7:$BB$41,COLUMNS('Grapes Margin - Alternative'!$A15:$J15),0)</f>
        <v>58212.319625129981</v>
      </c>
      <c r="AE12" s="62">
        <f>VLOOKUP($A12,'Grapes Margin - Alternative'!$A$7:$BY$41,COLUMNS('Grapes Margin - Alternative'!$A15:$BF15),0)</f>
        <v>22464.554409239143</v>
      </c>
      <c r="AF12" s="62">
        <f>VLOOKUP($A12,'Grapes Margin - Alternative'!$A$7:$BY$41,COLUMNS('Grapes Margin - Alternative'!$A15:$BI15),0)</f>
        <v>35747.765215890839</v>
      </c>
      <c r="AG12" s="64">
        <f>+VLOOKUP($A12,'Grapes Margin - Alternative'!$A$7:$BY$41,COLUMNS('Grapes Margin - Alternative'!$A15:$BL15),0)</f>
        <v>5.6873732556521359</v>
      </c>
      <c r="AH12" s="62">
        <f>+VLOOKUP($A12,'Citrus Margin ORAG - Baseline'!$A$7:$BC$41,COLUMNS('Citrus Margin ORAG - Baseline'!$A15:$C15),0)</f>
        <v>630.00345914642844</v>
      </c>
      <c r="AI12" s="104">
        <f>+VLOOKUP($A12,'Citrus Margin ORAG - Baseline'!$A$7:$BC$41,COLUMNS('Citrus Margin ORAG - Baseline'!$A15:$F15),0)</f>
        <v>40</v>
      </c>
      <c r="AJ12" s="62">
        <f>VLOOKUP($A12,'Citrus Margin ORAG - Baseline'!$A$7:$BC$41,COLUMNS('Citrus Margin ORAG - Baseline'!$A15:$I15),0)</f>
        <v>25200.138365857136</v>
      </c>
      <c r="AK12" s="62">
        <f>VLOOKUP($A12,'Citrus Margin ORAG - Baseline'!$A$7:$BC$41,COLUMNS('Citrus Margin ORAG - Baseline'!$A15:$AY15),0)</f>
        <v>17420.60233392716</v>
      </c>
      <c r="AL12" s="62">
        <f>+VLOOKUP($A12,'Citrus Margin ORAG - Baseline'!$A$7:$BC$41,COLUMNS('Citrus Margin ORAG - Baseline'!$A15:$BA15),0)</f>
        <v>7779.5360319299762</v>
      </c>
      <c r="AM12" s="64">
        <f>+VLOOKUP($A12,'Citrus Margin ORAG - Baseline'!$A$7:$BC$41,COLUMNS('Citrus Margin ORAG - Baseline'!$A15:$BC15),0)</f>
        <v>26.63262625459868</v>
      </c>
      <c r="AN12" s="62">
        <f>+VLOOKUP($A12,'Citrus Margin ORAG- Alternative'!$A$7:$BW$41,COLUMNS('Citrus Margin ORAG- Alternative'!$A15:$E15),0)</f>
        <v>630.00345914642844</v>
      </c>
      <c r="AO12" s="62">
        <f>'Citrus Margin ORAG- Alternative'!H15</f>
        <v>40</v>
      </c>
      <c r="AP12" s="62">
        <f>VLOOKUP($A12,'Citrus Margin ORAG- Alternative'!$A$7:$BB$41,COLUMNS('Citrus Margin ORAG- Alternative'!$A15:$J15),0)</f>
        <v>25200.138365857136</v>
      </c>
      <c r="AQ12" s="62">
        <f>VLOOKUP($A12,'Citrus Margin ORAG- Alternative'!$A$7:$CA$41,COLUMNS('Citrus Margin ORAG- Alternative'!$A15:BA15),0)</f>
        <v>17420.60233392716</v>
      </c>
      <c r="AR12" s="62">
        <f>VLOOKUP($A12,'Citrus Margin ORAG- Alternative'!$A$7:$BW$41,COLUMNS('Citrus Margin ORAG- Alternative'!$A15:$BD15),0)</f>
        <v>7779.5360319299762</v>
      </c>
      <c r="AS12" s="64">
        <f>+VLOOKUP($A12,'Citrus Margin ORAG- Alternative'!$A$7:$BW$41,COLUMNS('Citrus Margin ORAG- Alternative'!$A15:$BG15),0)</f>
        <v>26.63262625459868</v>
      </c>
      <c r="AU12" s="62">
        <f>+VLOOKUP($A12,'Citrus Margin MAND - Baseline'!$A$7:$CA$41,COLUMNS('Citrus Margin MAND - Baseline'!$A15:$C15),0)</f>
        <v>882.00484280499995</v>
      </c>
      <c r="AV12" s="104">
        <f>+VLOOKUP($A12,'Citrus Margin MAND - Baseline'!$A$7:$CA$41,COLUMNS('Citrus Margin MAND - Baseline'!$A15:$F15),0)</f>
        <v>45</v>
      </c>
      <c r="AW12" s="62">
        <f>VLOOKUP($A12,'Citrus Margin MAND - Baseline'!$A$7:$CA$41,COLUMNS('Citrus Margin MAND - Baseline'!$A15:$I15),0)</f>
        <v>39690.217926224999</v>
      </c>
      <c r="AX12" s="62">
        <f>VLOOKUP($A12,'Citrus Margin MAND - Baseline'!$A$7:$BC$41,COLUMNS('Citrus Margin MAND - Baseline'!$A15:$AY15),0)</f>
        <v>26875.41617356216</v>
      </c>
      <c r="AY12" s="62">
        <f>+VLOOKUP($A12,'Citrus Margin MAND - Baseline'!$A$7:$BC$41,COLUMNS('Citrus Margin MAND - Baseline'!$A15:$BA15),0)</f>
        <v>12814.801752662839</v>
      </c>
      <c r="AZ12" s="64">
        <f>+VLOOKUP($A12,'Citrus Margin MAND - Baseline'!$A$7:$BC$41,COLUMNS('Citrus Margin MAND - Baseline'!$A15:$BC15),0)</f>
        <v>29.680001660814696</v>
      </c>
      <c r="BA12" s="62">
        <f>+VLOOKUP($A12,'Citrus Margin MAND- Alternative'!$A$7:$BX$41,COLUMNS('Citrus Margin MAND- Alternative'!$A15:$C15),0)</f>
        <v>882.00484280499995</v>
      </c>
      <c r="BB12" s="62">
        <f>'Citrus Margin MAND- Alternative'!F15</f>
        <v>45</v>
      </c>
      <c r="BC12" s="62">
        <f>VLOOKUP($A12,'Citrus Margin MAND- Alternative'!$A$7:$BC$41,COLUMNS('Citrus Margin MAND- Alternative'!$A15:$I15),0)</f>
        <v>39690.217926224999</v>
      </c>
      <c r="BD12" s="62">
        <f>VLOOKUP($A12,'Citrus Margin MAND- Alternative'!$A$7:$BC$41,COLUMNS('Citrus Margin MAND- Alternative'!$A15:$AZ15),0)</f>
        <v>26875.41617356216</v>
      </c>
      <c r="BE12" s="62">
        <f>VLOOKUP($A12,'Citrus Margin MAND- Alternative'!$A$7:$BX$41,COLUMNS('Citrus Margin MAND- Alternative'!$A15:$BC15),0)</f>
        <v>12814.801752662839</v>
      </c>
      <c r="BF12" s="64">
        <f>+VLOOKUP($A12,'Citrus Margin MAND- Alternative'!$A$7:$BX$41,COLUMNS('Citrus Margin MAND- Alternative'!$A15:$BF15),0)</f>
        <v>29.680001660814696</v>
      </c>
    </row>
    <row r="13" spans="1:58" x14ac:dyDescent="0.2">
      <c r="A13" s="8">
        <f t="shared" si="0"/>
        <v>2030</v>
      </c>
      <c r="B13" s="34">
        <f>+VLOOKUP($A13,'Almonds Margin - Baseline'!$A$5:$BL$39,COLUMNS('Almonds Margin - Baseline'!$A19:$B19),0)</f>
        <v>8452.1264079084849</v>
      </c>
      <c r="C13" s="34">
        <f t="shared" si="1"/>
        <v>8.4521264079084855</v>
      </c>
      <c r="D13" s="28">
        <f>+VLOOKUP($A13,'Almonds Margin - Baseline'!$A$5:$BL$39,COLUMNS('Almonds Margin - Baseline'!$A19:$D19),0)</f>
        <v>2.48</v>
      </c>
      <c r="E13" s="28">
        <f>+VLOOKUP($A13,'Almonds Margin - Baseline'!$A$5:$BL$39,COLUMNS('Almonds Margin - Baseline'!$A19:$F19),0)</f>
        <v>20961.273491613043</v>
      </c>
      <c r="F13" s="28">
        <f>+VLOOKUP($A13,'Almonds Margin - Baseline'!$A$5:$BL$39,COLUMNS('Almonds Margin - Baseline'!$A19:$BH19),0)</f>
        <v>18258.52828740636</v>
      </c>
      <c r="G13" s="28">
        <f>+VLOOKUP($A13,'Almonds Margin - Baseline'!$A$5:$BL$39,COLUMNS('Almonds Margin - Baseline'!$A19:$BJ19),0)</f>
        <v>2702.7452042066834</v>
      </c>
      <c r="H13" s="166">
        <f>+VLOOKUP($A13,'Almonds Margin - Baseline'!$A$5:$BL$39,COLUMNS('Almonds Margin - Baseline'!$A19:$BL19),0)</f>
        <v>1.8589381790385284</v>
      </c>
      <c r="I13" s="34">
        <f>+VLOOKUP($A13,'Almonds Margin - Alternative'!$A$7:$BT$41,COLUMNS('Almonds Margin - Alternative'!$A21:$D21),0)</f>
        <v>8452.1264079084849</v>
      </c>
      <c r="J13" s="34">
        <f t="shared" si="2"/>
        <v>8.4521264079084855</v>
      </c>
      <c r="K13" s="28">
        <f>'Almonds Margin - Alternative'!H16</f>
        <v>2.48</v>
      </c>
      <c r="L13" s="28">
        <f>+VLOOKUP($A13,'Almonds Margin - Alternative'!$A$7:$BT$41,COLUMNS('Almonds Margin - Alternative'!$A21:$K21),0)</f>
        <v>20961.273491613043</v>
      </c>
      <c r="M13" s="28">
        <f>+VLOOKUP($A13,'Almonds Margin - Alternative'!$A$7:$BT$41,COLUMNS('Almonds Margin - Alternative'!$A21:$BO21),0)</f>
        <v>18258.52828740636</v>
      </c>
      <c r="N13" s="28">
        <f>+VLOOKUP($A13,'Almonds Margin - Alternative'!$A$7:$BT$41,COLUMNS('Almonds Margin - Alternative'!$A21:$BR21),0)</f>
        <v>2702.7452042066834</v>
      </c>
      <c r="O13" s="158">
        <f>+VLOOKUP($A13,'Almonds Margin - Alternative'!$A$7:$CA$41,COLUMNS('Almonds Margin - Alternative'!$A21:$BU21),0)</f>
        <v>1.8589381790385284</v>
      </c>
      <c r="P13" s="28">
        <f>+VLOOKUP($A13,'Almonds Margin - Alter.Ex.Rate'!$A$7:$BL$41,COLUMNS('Almonds Margin - Alter.Ex.Rate'!$A21:$BJ21),0)</f>
        <v>4832.0598208678857</v>
      </c>
      <c r="Q13" s="34">
        <f>+VLOOKUP($A13,'Almonds Margin - Alter.Ex.Rate'!$A$7:$BL$41,COLUMNS('Almonds Margin - Alter.Ex.Rate'!$A21:$BL21),0)</f>
        <v>1.8247254537002273</v>
      </c>
      <c r="R13" s="34">
        <f>+VLOOKUP($A13,'Almonds Margin - Baseline'!$A$5:$BL$39,COLUMNS( 'Almonds Margin - Baseline'!$A19:$B19),0)</f>
        <v>8452.1264079084849</v>
      </c>
      <c r="S13" s="28">
        <f>+VLOOKUP($A13,'Almonds Margin - Baseline'!$A$5:$BL$39,COLUMNS('Almonds Margin - Baseline'!$A19:$D19),0)</f>
        <v>2.48</v>
      </c>
      <c r="T13" s="28">
        <f>+VLOOKUP($A13,'Almonds Margin - Baseline'!$A$5:$BL$39,COLUMNS('Almonds Margin - Baseline'!$A19:$F19),0)</f>
        <v>20961.273491613043</v>
      </c>
      <c r="U13" s="28" t="e">
        <f>+VLOOKUP($A13,#REF!,COLUMNS(#REF!),0)</f>
        <v>#REF!</v>
      </c>
      <c r="V13" s="62">
        <f>+VLOOKUP($A13,'Grapes Margin - Baseline'!$A$7:$BC$41,COLUMNS('Grapes Margin - Baseline'!$A18:$C18),0)</f>
        <v>3900.9814190346842</v>
      </c>
      <c r="W13" s="104">
        <f>'Grapes Margin - Baseline'!F16</f>
        <v>15.4</v>
      </c>
      <c r="X13" s="62">
        <f>VLOOKUP($A13,'Grapes Margin - Baseline'!$A$7:$BC$41,COLUMNS('Grapes Margin - Baseline'!$A16:$I16),0)</f>
        <v>60075.113853134135</v>
      </c>
      <c r="Y13" s="62">
        <f>VLOOKUP($A13,'Grapes Margin - Baseline'!$A$7:$CA$41,COLUMNS('Grapes Margin - Baseline'!$A16:$BD16),0)</f>
        <v>23147.346931437911</v>
      </c>
      <c r="Z13" s="62">
        <f>+VLOOKUP($A13,'Grapes Margin - Baseline'!$A$7:$CA$41,COLUMNS('Grapes Margin - Baseline'!$A16:$BF16),0)</f>
        <v>36927.766921696224</v>
      </c>
      <c r="AA13" s="64">
        <f>+VLOOKUP($A13,'Grapes Margin - Baseline'!$A$7:$CA$41,COLUMNS('Grapes Margin - Baseline'!$A16:$BH16),0)</f>
        <v>5.6786435120826013</v>
      </c>
      <c r="AB13" s="62">
        <f>+VLOOKUP($A13,'Grapes Margin - Alternative'!$A$7:$BY$41,COLUMNS('Grapes Margin - Alternative'!$A16:$C16),0)</f>
        <v>3900.9814190346842</v>
      </c>
      <c r="AC13" s="62">
        <f>'Grapes Margin - Alternative'!F16</f>
        <v>15.4</v>
      </c>
      <c r="AD13" s="62">
        <f>VLOOKUP($A13,'Grapes Margin - Alternative'!$A$7:$BB$41,COLUMNS('Grapes Margin - Alternative'!$A16:$J16),0)</f>
        <v>60075.113853134135</v>
      </c>
      <c r="AE13" s="62">
        <f>VLOOKUP($A13,'Grapes Margin - Alternative'!$A$7:$BY$41,COLUMNS('Grapes Margin - Alternative'!$A16:$BF16),0)</f>
        <v>23147.943930195841</v>
      </c>
      <c r="AF13" s="62">
        <f>VLOOKUP($A13,'Grapes Margin - Alternative'!$A$7:$BY$41,COLUMNS('Grapes Margin - Alternative'!$A16:$BI16),0)</f>
        <v>36927.169922938294</v>
      </c>
      <c r="AG13" s="64">
        <f>+VLOOKUP($A13,'Grapes Margin - Alternative'!$A$7:$BY$41,COLUMNS('Grapes Margin - Alternative'!$A16:$BL16),0)</f>
        <v>5.6788007395440898</v>
      </c>
      <c r="AH13" s="62">
        <f>+VLOOKUP($A13,'Citrus Margin ORAG - Baseline'!$A$7:$BC$41,COLUMNS('Citrus Margin ORAG - Baseline'!$A16:$C16),0)</f>
        <v>650.16356983911407</v>
      </c>
      <c r="AI13" s="104">
        <f>+VLOOKUP($A13,'Citrus Margin ORAG - Baseline'!$A$7:$BC$41,COLUMNS('Citrus Margin ORAG - Baseline'!$A16:$F16),0)</f>
        <v>40</v>
      </c>
      <c r="AJ13" s="62">
        <f>VLOOKUP($A13,'Citrus Margin ORAG - Baseline'!$A$7:$BC$41,COLUMNS('Citrus Margin ORAG - Baseline'!$A16:$I16),0)</f>
        <v>26006.542793564564</v>
      </c>
      <c r="AK13" s="62">
        <f>VLOOKUP($A13,'Citrus Margin ORAG - Baseline'!$A$7:$BC$41,COLUMNS('Citrus Margin ORAG - Baseline'!$A16:$AY16),0)</f>
        <v>17934.964509871555</v>
      </c>
      <c r="AL13" s="62">
        <f>+VLOOKUP($A13,'Citrus Margin ORAG - Baseline'!$A$7:$BC$41,COLUMNS('Citrus Margin ORAG - Baseline'!$A16:$BA16),0)</f>
        <v>8071.5782836930084</v>
      </c>
      <c r="AM13" s="64">
        <f>+VLOOKUP($A13,'Citrus Margin ORAG - Baseline'!$A$7:$BC$41,COLUMNS('Citrus Margin ORAG - Baseline'!$A16:$BC16),0)</f>
        <v>26.573769075662089</v>
      </c>
      <c r="AN13" s="62">
        <f>+VLOOKUP($A13,'Citrus Margin ORAG- Alternative'!$A$7:$BW$41,COLUMNS('Citrus Margin ORAG- Alternative'!$A16:$E16),0)</f>
        <v>650.16356983911407</v>
      </c>
      <c r="AO13" s="62">
        <f>'Citrus Margin ORAG- Alternative'!H16</f>
        <v>40</v>
      </c>
      <c r="AP13" s="62">
        <f>VLOOKUP($A13,'Citrus Margin ORAG- Alternative'!$A$7:$BB$41,COLUMNS('Citrus Margin ORAG- Alternative'!$A16:$J16),0)</f>
        <v>26006.542793564564</v>
      </c>
      <c r="AQ13" s="62">
        <f>VLOOKUP($A13,'Citrus Margin ORAG- Alternative'!$A$7:$CA$41,COLUMNS('Citrus Margin ORAG- Alternative'!$A16:BA16),0)</f>
        <v>17934.964509871555</v>
      </c>
      <c r="AR13" s="62">
        <f>VLOOKUP($A13,'Citrus Margin ORAG- Alternative'!$A$7:$BW$41,COLUMNS('Citrus Margin ORAG- Alternative'!$A16:$BD16),0)</f>
        <v>8071.5782836930084</v>
      </c>
      <c r="AS13" s="64">
        <f>+VLOOKUP($A13,'Citrus Margin ORAG- Alternative'!$A$7:$BW$41,COLUMNS('Citrus Margin ORAG- Alternative'!$A16:$BG16),0)</f>
        <v>26.573769075662089</v>
      </c>
      <c r="AU13" s="62">
        <f>+VLOOKUP($A13,'Citrus Margin MAND - Baseline'!$A$7:$CA$41,COLUMNS('Citrus Margin MAND - Baseline'!$A16:$C16),0)</f>
        <v>910.22899777475993</v>
      </c>
      <c r="AV13" s="104">
        <f>+VLOOKUP($A13,'Citrus Margin MAND - Baseline'!$A$7:$CA$41,COLUMNS('Citrus Margin MAND - Baseline'!$A16:$F16),0)</f>
        <v>45</v>
      </c>
      <c r="AW13" s="62">
        <f>VLOOKUP($A13,'Citrus Margin MAND - Baseline'!$A$7:$CA$41,COLUMNS('Citrus Margin MAND - Baseline'!$A16:$I16),0)</f>
        <v>40960.304899864197</v>
      </c>
      <c r="AX13" s="62">
        <f>VLOOKUP($A13,'Citrus Margin MAND - Baseline'!$A$7:$BC$41,COLUMNS('Citrus Margin MAND - Baseline'!$A16:$AY16),0)</f>
        <v>27692.867921615405</v>
      </c>
      <c r="AY13" s="62">
        <f>+VLOOKUP($A13,'Citrus Margin MAND - Baseline'!$A$7:$BC$41,COLUMNS('Citrus Margin MAND - Baseline'!$A16:$BA16),0)</f>
        <v>13267.436978248792</v>
      </c>
      <c r="AZ13" s="64">
        <f>+VLOOKUP($A13,'Citrus Margin MAND - Baseline'!$A$7:$BC$41,COLUMNS('Citrus Margin MAND - Baseline'!$A16:$BC16),0)</f>
        <v>29.638943365128085</v>
      </c>
      <c r="BA13" s="62">
        <f>+VLOOKUP($A13,'Citrus Margin MAND- Alternative'!$A$7:$BX$41,COLUMNS('Citrus Margin MAND- Alternative'!$A16:$C16),0)</f>
        <v>910.22899777475993</v>
      </c>
      <c r="BB13" s="62">
        <f>'Citrus Margin MAND- Alternative'!F16</f>
        <v>45</v>
      </c>
      <c r="BC13" s="62">
        <f>VLOOKUP($A13,'Citrus Margin MAND- Alternative'!$A$7:$BC$41,COLUMNS('Citrus Margin MAND- Alternative'!$A16:$I16),0)</f>
        <v>40960.304899864197</v>
      </c>
      <c r="BD13" s="62">
        <f>VLOOKUP($A13,'Citrus Margin MAND- Alternative'!$A$7:$BC$41,COLUMNS('Citrus Margin MAND- Alternative'!$A16:$AZ16),0)</f>
        <v>27692.867921615405</v>
      </c>
      <c r="BE13" s="62">
        <f>VLOOKUP($A13,'Citrus Margin MAND- Alternative'!$A$7:$BX$41,COLUMNS('Citrus Margin MAND- Alternative'!$A16:$BC16),0)</f>
        <v>13267.436978248792</v>
      </c>
      <c r="BF13" s="64">
        <f>+VLOOKUP($A13,'Citrus Margin MAND- Alternative'!$A$7:$BX$41,COLUMNS('Citrus Margin MAND- Alternative'!$A16:$BF16),0)</f>
        <v>29.638943365128085</v>
      </c>
    </row>
    <row r="14" spans="1:58" x14ac:dyDescent="0.2">
      <c r="A14" s="8">
        <f t="shared" si="0"/>
        <v>2031</v>
      </c>
      <c r="B14" s="34">
        <f>+VLOOKUP($A14,'Almonds Margin - Baseline'!$A$5:$BL$39,COLUMNS('Almonds Margin - Baseline'!$A20:$B20),0)</f>
        <v>8722.5944529615554</v>
      </c>
      <c r="C14" s="34">
        <f t="shared" si="1"/>
        <v>8.7225944529615553</v>
      </c>
      <c r="D14" s="28">
        <f>+VLOOKUP($A14,'Almonds Margin - Baseline'!$A$5:$BL$39,COLUMNS('Almonds Margin - Baseline'!$A20:$D20),0)</f>
        <v>2.48</v>
      </c>
      <c r="E14" s="28">
        <f>+VLOOKUP($A14,'Almonds Margin - Baseline'!$A$5:$BL$39,COLUMNS('Almonds Margin - Baseline'!$A20:$F20),0)</f>
        <v>21632.034243344657</v>
      </c>
      <c r="F14" s="28">
        <f>+VLOOKUP($A14,'Almonds Margin - Baseline'!$A$5:$BL$39,COLUMNS('Almonds Margin - Baseline'!$A20:$BH20),0)</f>
        <v>18730.40945353737</v>
      </c>
      <c r="G14" s="28">
        <f>+VLOOKUP($A14,'Almonds Margin - Baseline'!$A$5:$BL$39,COLUMNS('Almonds Margin - Baseline'!$A20:$BJ20),0)</f>
        <v>2901.624789807287</v>
      </c>
      <c r="H14" s="166">
        <f>+VLOOKUP($A14,'Almonds Margin - Baseline'!$A$5:$BL$39,COLUMNS('Almonds Margin - Baseline'!$A20:$BL20),0)</f>
        <v>1.8461837163351389</v>
      </c>
      <c r="I14" s="34">
        <f>+VLOOKUP($A14,'Almonds Margin - Alternative'!$A$7:$BT$41,COLUMNS('Almonds Margin - Alternative'!$A22:$D22),0)</f>
        <v>8722.5944529615554</v>
      </c>
      <c r="J14" s="34">
        <f t="shared" si="2"/>
        <v>8.7225944529615553</v>
      </c>
      <c r="K14" s="28">
        <f>'Almonds Margin - Alternative'!H17</f>
        <v>2.48</v>
      </c>
      <c r="L14" s="28">
        <f>+VLOOKUP($A14,'Almonds Margin - Alternative'!$A$7:$BT$41,COLUMNS('Almonds Margin - Alternative'!$A22:$K22),0)</f>
        <v>21632.034243344657</v>
      </c>
      <c r="M14" s="28">
        <f>+VLOOKUP($A14,'Almonds Margin - Alternative'!$A$7:$BT$41,COLUMNS('Almonds Margin - Alternative'!$A22:$BO22),0)</f>
        <v>18730.40945353737</v>
      </c>
      <c r="N14" s="28">
        <f>+VLOOKUP($A14,'Almonds Margin - Alternative'!$A$7:$BT$41,COLUMNS('Almonds Margin - Alternative'!$A22:$BR22),0)</f>
        <v>2901.624789807287</v>
      </c>
      <c r="O14" s="158">
        <f>+VLOOKUP($A14,'Almonds Margin - Alternative'!$A$7:$CA$41,COLUMNS('Almonds Margin - Alternative'!$A22:$BU22),0)</f>
        <v>1.8461837163351389</v>
      </c>
      <c r="P14" s="28">
        <f>+VLOOKUP($A14,'Almonds Margin - Alter.Ex.Rate'!$A$7:$BL$41,COLUMNS('Almonds Margin - Alter.Ex.Rate'!$A22:$BJ22),0)</f>
        <v>5139.9592015576163</v>
      </c>
      <c r="Q14" s="34">
        <f>+VLOOKUP($A14,'Almonds Margin - Alter.Ex.Rate'!$A$7:$BL$41,COLUMNS('Almonds Margin - Alter.Ex.Rate'!$A22:$BL22),0)</f>
        <v>1.8049176911329421</v>
      </c>
      <c r="R14" s="34">
        <f>+VLOOKUP($A14,'Almonds Margin - Baseline'!$A$5:$BL$39,COLUMNS( 'Almonds Margin - Baseline'!$A20:$B20),0)</f>
        <v>8722.5944529615554</v>
      </c>
      <c r="S14" s="28">
        <f>+VLOOKUP($A14,'Almonds Margin - Baseline'!$A$5:$BL$39,COLUMNS('Almonds Margin - Baseline'!$A20:$D20),0)</f>
        <v>2.48</v>
      </c>
      <c r="T14" s="28">
        <f>+VLOOKUP($A14,'Almonds Margin - Baseline'!$A$5:$BL$39,COLUMNS('Almonds Margin - Baseline'!$A20:$F20),0)</f>
        <v>21632.034243344657</v>
      </c>
      <c r="U14" s="28" t="e">
        <f>+VLOOKUP($A14,#REF!,COLUMNS(#REF!),0)</f>
        <v>#REF!</v>
      </c>
      <c r="V14" s="62">
        <f>+VLOOKUP($A14,'Grapes Margin - Baseline'!$A$7:$BC$41,COLUMNS('Grapes Margin - Baseline'!$A19:$C19),0)</f>
        <v>4025.8128244437944</v>
      </c>
      <c r="W14" s="104">
        <f>'Grapes Margin - Baseline'!F17</f>
        <v>15.4</v>
      </c>
      <c r="X14" s="62">
        <f>VLOOKUP($A14,'Grapes Margin - Baseline'!$A$7:$BC$41,COLUMNS('Grapes Margin - Baseline'!$A17:$I17),0)</f>
        <v>61997.517496434433</v>
      </c>
      <c r="Y14" s="62">
        <f>VLOOKUP($A14,'Grapes Margin - Baseline'!$A$7:$CA$41,COLUMNS('Grapes Margin - Baseline'!$A17:$BD17),0)</f>
        <v>23818.842783475</v>
      </c>
      <c r="Z14" s="62">
        <f>+VLOOKUP($A14,'Grapes Margin - Baseline'!$A$7:$CA$41,COLUMNS('Grapes Margin - Baseline'!$A17:$BF17),0)</f>
        <v>38178.67471295943</v>
      </c>
      <c r="AA14" s="64">
        <f>+VLOOKUP($A14,'Grapes Margin - Baseline'!$A$7:$CA$41,COLUMNS('Grapes Margin - Baseline'!$A17:$BH17),0)</f>
        <v>5.661727999879508</v>
      </c>
      <c r="AB14" s="62">
        <f>+VLOOKUP($A14,'Grapes Margin - Alternative'!$A$7:$BY$41,COLUMNS('Grapes Margin - Alternative'!$A17:$C17),0)</f>
        <v>4025.8128244437944</v>
      </c>
      <c r="AC14" s="62">
        <f>'Grapes Margin - Alternative'!F17</f>
        <v>15.4</v>
      </c>
      <c r="AD14" s="62">
        <f>VLOOKUP($A14,'Grapes Margin - Alternative'!$A$7:$BB$41,COLUMNS('Grapes Margin - Alternative'!$A17:$J17),0)</f>
        <v>61997.517496434433</v>
      </c>
      <c r="AE14" s="62">
        <f>VLOOKUP($A14,'Grapes Margin - Alternative'!$A$7:$BY$41,COLUMNS('Grapes Margin - Alternative'!$A17:$BF17),0)</f>
        <v>23819.442946213901</v>
      </c>
      <c r="AF14" s="62">
        <f>VLOOKUP($A14,'Grapes Margin - Alternative'!$A$7:$BY$41,COLUMNS('Grapes Margin - Alternative'!$A17:$BI17),0)</f>
        <v>38178.074550220532</v>
      </c>
      <c r="AG14" s="64">
        <f>+VLOOKUP($A14,'Grapes Margin - Alternative'!$A$7:$BY$41,COLUMNS('Grapes Margin - Alternative'!$A17:$BL17),0)</f>
        <v>5.6618811457518081</v>
      </c>
      <c r="AH14" s="62">
        <f>+VLOOKUP($A14,'Citrus Margin ORAG - Baseline'!$A$7:$BC$41,COLUMNS('Citrus Margin ORAG - Baseline'!$A17:$C17),0)</f>
        <v>670.96880407396566</v>
      </c>
      <c r="AI14" s="104">
        <f>+VLOOKUP($A14,'Citrus Margin ORAG - Baseline'!$A$7:$BC$41,COLUMNS('Citrus Margin ORAG - Baseline'!$A17:$F17),0)</f>
        <v>40</v>
      </c>
      <c r="AJ14" s="62">
        <f>VLOOKUP($A14,'Citrus Margin ORAG - Baseline'!$A$7:$BC$41,COLUMNS('Citrus Margin ORAG - Baseline'!$A17:$I17),0)</f>
        <v>26838.752162958626</v>
      </c>
      <c r="AK14" s="62">
        <f>VLOOKUP($A14,'Citrus Margin ORAG - Baseline'!$A$7:$BC$41,COLUMNS('Citrus Margin ORAG - Baseline'!$A17:$AY17),0)</f>
        <v>18425.656513671267</v>
      </c>
      <c r="AL14" s="62">
        <f>+VLOOKUP($A14,'Citrus Margin ORAG - Baseline'!$A$7:$BC$41,COLUMNS('Citrus Margin ORAG - Baseline'!$A17:$BA17),0)</f>
        <v>8413.0956492873593</v>
      </c>
      <c r="AM14" s="64">
        <f>+VLOOKUP($A14,'Citrus Margin ORAG - Baseline'!$A$7:$BC$41,COLUMNS('Citrus Margin ORAG - Baseline'!$A17:$BC17),0)</f>
        <v>26.45371045085103</v>
      </c>
      <c r="AN14" s="62">
        <f>+VLOOKUP($A14,'Citrus Margin ORAG- Alternative'!$A$7:$BW$41,COLUMNS('Citrus Margin ORAG- Alternative'!$A17:$E17),0)</f>
        <v>670.96880407396566</v>
      </c>
      <c r="AO14" s="62">
        <f>'Citrus Margin ORAG- Alternative'!H17</f>
        <v>40</v>
      </c>
      <c r="AP14" s="62">
        <f>VLOOKUP($A14,'Citrus Margin ORAG- Alternative'!$A$7:$BB$41,COLUMNS('Citrus Margin ORAG- Alternative'!$A17:$J17),0)</f>
        <v>26838.752162958626</v>
      </c>
      <c r="AQ14" s="62">
        <f>VLOOKUP($A14,'Citrus Margin ORAG- Alternative'!$A$7:$CA$41,COLUMNS('Citrus Margin ORAG- Alternative'!$A17:BA17),0)</f>
        <v>18425.656513671267</v>
      </c>
      <c r="AR14" s="62">
        <f>VLOOKUP($A14,'Citrus Margin ORAG- Alternative'!$A$7:$BW$41,COLUMNS('Citrus Margin ORAG- Alternative'!$A17:$BD17),0)</f>
        <v>8413.0956492873593</v>
      </c>
      <c r="AS14" s="64">
        <f>+VLOOKUP($A14,'Citrus Margin ORAG- Alternative'!$A$7:$BW$41,COLUMNS('Citrus Margin ORAG- Alternative'!$A17:$BG17),0)</f>
        <v>26.45371045085103</v>
      </c>
      <c r="AU14" s="62">
        <f>+VLOOKUP($A14,'Citrus Margin MAND - Baseline'!$A$7:$CA$41,COLUMNS('Citrus Margin MAND - Baseline'!$A17:$C17),0)</f>
        <v>939.35632570355222</v>
      </c>
      <c r="AV14" s="104">
        <f>+VLOOKUP($A14,'Citrus Margin MAND - Baseline'!$A$7:$CA$41,COLUMNS('Citrus Margin MAND - Baseline'!$A17:$F17),0)</f>
        <v>45</v>
      </c>
      <c r="AW14" s="62">
        <f>VLOOKUP($A14,'Citrus Margin MAND - Baseline'!$A$7:$CA$41,COLUMNS('Citrus Margin MAND - Baseline'!$A17:$I17),0)</f>
        <v>42271.034656659853</v>
      </c>
      <c r="AX14" s="62">
        <f>VLOOKUP($A14,'Citrus Margin MAND - Baseline'!$A$7:$BC$41,COLUMNS('Citrus Margin MAND - Baseline'!$A17:$AY17),0)</f>
        <v>28496.683795302073</v>
      </c>
      <c r="AY14" s="62">
        <f>+VLOOKUP($A14,'Citrus Margin MAND - Baseline'!$A$7:$BC$41,COLUMNS('Citrus Margin MAND - Baseline'!$A17:$BA17),0)</f>
        <v>13774.35086135778</v>
      </c>
      <c r="AZ14" s="64">
        <f>+VLOOKUP($A14,'Citrus Margin MAND - Baseline'!$A$7:$BC$41,COLUMNS('Citrus Margin MAND - Baseline'!$A17:$BC17),0)</f>
        <v>29.555191431952153</v>
      </c>
      <c r="BA14" s="62">
        <f>+VLOOKUP($A14,'Citrus Margin MAND- Alternative'!$A$7:$BX$41,COLUMNS('Citrus Margin MAND- Alternative'!$A17:$C17),0)</f>
        <v>939.35632570355222</v>
      </c>
      <c r="BB14" s="62">
        <f>'Citrus Margin MAND- Alternative'!F17</f>
        <v>45</v>
      </c>
      <c r="BC14" s="62">
        <f>VLOOKUP($A14,'Citrus Margin MAND- Alternative'!$A$7:$BC$41,COLUMNS('Citrus Margin MAND- Alternative'!$A17:$I17),0)</f>
        <v>42271.034656659853</v>
      </c>
      <c r="BD14" s="62">
        <f>VLOOKUP($A14,'Citrus Margin MAND- Alternative'!$A$7:$BC$41,COLUMNS('Citrus Margin MAND- Alternative'!$A17:$AZ17),0)</f>
        <v>28496.683795302073</v>
      </c>
      <c r="BE14" s="62">
        <f>VLOOKUP($A14,'Citrus Margin MAND- Alternative'!$A$7:$BX$41,COLUMNS('Citrus Margin MAND- Alternative'!$A17:$BC17),0)</f>
        <v>13774.35086135778</v>
      </c>
      <c r="BF14" s="64">
        <f>+VLOOKUP($A14,'Citrus Margin MAND- Alternative'!$A$7:$BX$41,COLUMNS('Citrus Margin MAND- Alternative'!$A17:$BF17),0)</f>
        <v>29.555191431952153</v>
      </c>
    </row>
    <row r="15" spans="1:58" x14ac:dyDescent="0.2">
      <c r="A15" s="8">
        <f t="shared" si="0"/>
        <v>2032</v>
      </c>
      <c r="B15" s="34">
        <f>+VLOOKUP($A15,'Almonds Margin - Baseline'!$A$5:$BL$39,COLUMNS('Almonds Margin - Baseline'!$A21:$B21),0)</f>
        <v>9001.7174754563257</v>
      </c>
      <c r="C15" s="34">
        <f t="shared" si="1"/>
        <v>9.0017174754563261</v>
      </c>
      <c r="D15" s="28">
        <f>+VLOOKUP($A15,'Almonds Margin - Baseline'!$A$5:$BL$39,COLUMNS('Almonds Margin - Baseline'!$A21:$D21),0)</f>
        <v>2.48</v>
      </c>
      <c r="E15" s="28">
        <f>+VLOOKUP($A15,'Almonds Margin - Baseline'!$A$5:$BL$39,COLUMNS('Almonds Margin - Baseline'!$A21:$F21),0)</f>
        <v>22324.259339131688</v>
      </c>
      <c r="F15" s="28">
        <f>+VLOOKUP($A15,'Almonds Margin - Baseline'!$A$5:$BL$39,COLUMNS('Almonds Margin - Baseline'!$A21:$BH21),0)</f>
        <v>19209.868782615347</v>
      </c>
      <c r="G15" s="28">
        <f>+VLOOKUP($A15,'Almonds Margin - Baseline'!$A$5:$BL$39,COLUMNS('Almonds Margin - Baseline'!$A21:$BJ21),0)</f>
        <v>3114.3905565163404</v>
      </c>
      <c r="H15" s="166">
        <f>+VLOOKUP($A15,'Almonds Margin - Baseline'!$A$5:$BL$39,COLUMNS('Almonds Margin - Baseline'!$A21:$BL21),0)</f>
        <v>1.832988140931042</v>
      </c>
      <c r="I15" s="34">
        <f>+VLOOKUP($A15,'Almonds Margin - Alternative'!$A$7:$BT$41,COLUMNS('Almonds Margin - Alternative'!$A23:$D23),0)</f>
        <v>9001.7174754563257</v>
      </c>
      <c r="J15" s="34">
        <f t="shared" si="2"/>
        <v>9.0017174754563261</v>
      </c>
      <c r="K15" s="28">
        <f>'Almonds Margin - Alternative'!H18</f>
        <v>2.48</v>
      </c>
      <c r="L15" s="28">
        <f>+VLOOKUP($A15,'Almonds Margin - Alternative'!$A$7:$BT$41,COLUMNS('Almonds Margin - Alternative'!$A23:$K23),0)</f>
        <v>22324.259339131688</v>
      </c>
      <c r="M15" s="28">
        <f>+VLOOKUP($A15,'Almonds Margin - Alternative'!$A$7:$BT$41,COLUMNS('Almonds Margin - Alternative'!$A23:$BO23),0)</f>
        <v>19209.868782615347</v>
      </c>
      <c r="N15" s="28">
        <f>+VLOOKUP($A15,'Almonds Margin - Alternative'!$A$7:$BT$41,COLUMNS('Almonds Margin - Alternative'!$A23:$BR23),0)</f>
        <v>3114.3905565163404</v>
      </c>
      <c r="O15" s="158">
        <f>+VLOOKUP($A15,'Almonds Margin - Alternative'!$A$7:$CA$41,COLUMNS('Almonds Margin - Alternative'!$A23:$BU23),0)</f>
        <v>1.832988140931042</v>
      </c>
      <c r="P15" s="28">
        <f>+VLOOKUP($A15,'Almonds Margin - Alter.Ex.Rate'!$A$7:$BL$41,COLUMNS('Almonds Margin - Alter.Ex.Rate'!$A23:$BJ23),0)</f>
        <v>5461.8243889124169</v>
      </c>
      <c r="Q15" s="34">
        <f>+VLOOKUP($A15,'Almonds Margin - Alter.Ex.Rate'!$A$7:$BL$41,COLUMNS('Almonds Margin - Alter.Ex.Rate'!$A23:$BL23),0)</f>
        <v>1.785205021278085</v>
      </c>
      <c r="R15" s="34">
        <f>+VLOOKUP($A15,'Almonds Margin - Baseline'!$A$5:$BL$39,COLUMNS( 'Almonds Margin - Baseline'!$A21:$B21),0)</f>
        <v>9001.7174754563257</v>
      </c>
      <c r="S15" s="28">
        <f>+VLOOKUP($A15,'Almonds Margin - Baseline'!$A$5:$BL$39,COLUMNS('Almonds Margin - Baseline'!$A21:$D21),0)</f>
        <v>2.48</v>
      </c>
      <c r="T15" s="28">
        <f>+VLOOKUP($A15,'Almonds Margin - Baseline'!$A$5:$BL$39,COLUMNS('Almonds Margin - Baseline'!$A21:$F21),0)</f>
        <v>22324.259339131688</v>
      </c>
      <c r="U15" s="28" t="e">
        <f>+VLOOKUP($A15,#REF!,COLUMNS(#REF!),0)</f>
        <v>#REF!</v>
      </c>
      <c r="V15" s="62">
        <f>+VLOOKUP($A15,'Grapes Margin - Baseline'!$A$7:$BC$41,COLUMNS('Grapes Margin - Baseline'!$A20:$C20),0)</f>
        <v>4154.6388348259952</v>
      </c>
      <c r="W15" s="104">
        <f>'Grapes Margin - Baseline'!F18</f>
        <v>15.4</v>
      </c>
      <c r="X15" s="62">
        <f>VLOOKUP($A15,'Grapes Margin - Baseline'!$A$7:$BC$41,COLUMNS('Grapes Margin - Baseline'!$A18:$I18),0)</f>
        <v>63981.43805632033</v>
      </c>
      <c r="Y15" s="62">
        <f>VLOOKUP($A15,'Grapes Margin - Baseline'!$A$7:$CA$41,COLUMNS('Grapes Margin - Baseline'!$A18:$BD18),0)</f>
        <v>24507.474519538078</v>
      </c>
      <c r="Z15" s="62">
        <f>+VLOOKUP($A15,'Grapes Margin - Baseline'!$A$7:$CA$41,COLUMNS('Grapes Margin - Baseline'!$A18:$BF18),0)</f>
        <v>39473.963536782248</v>
      </c>
      <c r="AA15" s="64">
        <f>+VLOOKUP($A15,'Grapes Margin - Baseline'!$A$7:$CA$41,COLUMNS('Grapes Margin - Baseline'!$A18:$BH18),0)</f>
        <v>5.6442639138697039</v>
      </c>
      <c r="AB15" s="62">
        <f>+VLOOKUP($A15,'Grapes Margin - Alternative'!$A$7:$BY$41,COLUMNS('Grapes Margin - Alternative'!$A18:$C18),0)</f>
        <v>4154.6388348259952</v>
      </c>
      <c r="AC15" s="62">
        <f>'Grapes Margin - Alternative'!F18</f>
        <v>15.4</v>
      </c>
      <c r="AD15" s="62">
        <f>VLOOKUP($A15,'Grapes Margin - Alternative'!$A$7:$BB$41,COLUMNS('Grapes Margin - Alternative'!$A18:$J18),0)</f>
        <v>63981.43805632033</v>
      </c>
      <c r="AE15" s="62">
        <f>VLOOKUP($A15,'Grapes Margin - Alternative'!$A$7:$BY$41,COLUMNS('Grapes Margin - Alternative'!$A18:$BF18),0)</f>
        <v>24508.076868501234</v>
      </c>
      <c r="AF15" s="62">
        <f>VLOOKUP($A15,'Grapes Margin - Alternative'!$A$7:$BY$41,COLUMNS('Grapes Margin - Alternative'!$A18:$BI18),0)</f>
        <v>39473.3611878191</v>
      </c>
      <c r="AG15" s="64">
        <f>+VLOOKUP($A15,'Grapes Margin - Alternative'!$A$7:$BY$41,COLUMNS('Grapes Margin - Alternative'!$A18:$BL18),0)</f>
        <v>5.644412838640136</v>
      </c>
      <c r="AH15" s="62">
        <f>+VLOOKUP($A15,'Citrus Margin ORAG - Baseline'!$A$7:$BC$41,COLUMNS('Citrus Margin ORAG - Baseline'!$A18:$C18),0)</f>
        <v>692.43980580433254</v>
      </c>
      <c r="AI15" s="104">
        <f>+VLOOKUP($A15,'Citrus Margin ORAG - Baseline'!$A$7:$BC$41,COLUMNS('Citrus Margin ORAG - Baseline'!$A18:$F18),0)</f>
        <v>40</v>
      </c>
      <c r="AJ15" s="62">
        <f>VLOOKUP($A15,'Citrus Margin ORAG - Baseline'!$A$7:$BC$41,COLUMNS('Citrus Margin ORAG - Baseline'!$A18:$I18),0)</f>
        <v>27697.592232173301</v>
      </c>
      <c r="AK15" s="62">
        <f>VLOOKUP($A15,'Citrus Margin ORAG - Baseline'!$A$7:$BC$41,COLUMNS('Citrus Margin ORAG - Baseline'!$A18:$AY18),0)</f>
        <v>18926.876115306426</v>
      </c>
      <c r="AL15" s="62">
        <f>+VLOOKUP($A15,'Citrus Margin ORAG - Baseline'!$A$7:$BC$41,COLUMNS('Citrus Margin ORAG - Baseline'!$A18:$BA18),0)</f>
        <v>8770.7161168668754</v>
      </c>
      <c r="AM15" s="64">
        <f>+VLOOKUP($A15,'Citrus Margin ORAG - Baseline'!$A$7:$BC$41,COLUMNS('Citrus Margin ORAG - Baseline'!$A18:$BC18),0)</f>
        <v>26.329499602189742</v>
      </c>
      <c r="AN15" s="62">
        <f>+VLOOKUP($A15,'Citrus Margin ORAG- Alternative'!$A$7:$BW$41,COLUMNS('Citrus Margin ORAG- Alternative'!$A18:$E18),0)</f>
        <v>692.43980580433254</v>
      </c>
      <c r="AO15" s="62">
        <f>'Citrus Margin ORAG- Alternative'!H18</f>
        <v>40</v>
      </c>
      <c r="AP15" s="62">
        <f>VLOOKUP($A15,'Citrus Margin ORAG- Alternative'!$A$7:$BB$41,COLUMNS('Citrus Margin ORAG- Alternative'!$A18:$J18),0)</f>
        <v>27697.592232173301</v>
      </c>
      <c r="AQ15" s="62">
        <f>VLOOKUP($A15,'Citrus Margin ORAG- Alternative'!$A$7:$CA$41,COLUMNS('Citrus Margin ORAG- Alternative'!$A18:BA18),0)</f>
        <v>18926.876115306426</v>
      </c>
      <c r="AR15" s="62">
        <f>VLOOKUP($A15,'Citrus Margin ORAG- Alternative'!$A$7:$BW$41,COLUMNS('Citrus Margin ORAG- Alternative'!$A18:$BD18),0)</f>
        <v>8770.7161168668754</v>
      </c>
      <c r="AS15" s="64">
        <f>+VLOOKUP($A15,'Citrus Margin ORAG- Alternative'!$A$7:$BW$41,COLUMNS('Citrus Margin ORAG- Alternative'!$A18:$BG18),0)</f>
        <v>26.329499602189742</v>
      </c>
      <c r="AU15" s="62">
        <f>+VLOOKUP($A15,'Citrus Margin MAND - Baseline'!$A$7:$CA$41,COLUMNS('Citrus Margin MAND - Baseline'!$A18:$C18),0)</f>
        <v>969.41572812606591</v>
      </c>
      <c r="AV15" s="104">
        <f>+VLOOKUP($A15,'Citrus Margin MAND - Baseline'!$A$7:$CA$41,COLUMNS('Citrus Margin MAND - Baseline'!$A18:$F18),0)</f>
        <v>45</v>
      </c>
      <c r="AW15" s="62">
        <f>VLOOKUP($A15,'Citrus Margin MAND - Baseline'!$A$7:$CA$41,COLUMNS('Citrus Margin MAND - Baseline'!$A18:$I18),0)</f>
        <v>43623.707765672967</v>
      </c>
      <c r="AX15" s="62">
        <f>VLOOKUP($A15,'Citrus Margin MAND - Baseline'!$A$7:$BC$41,COLUMNS('Citrus Margin MAND - Baseline'!$A18:$AY18),0)</f>
        <v>29321.090482989872</v>
      </c>
      <c r="AY15" s="62">
        <f>+VLOOKUP($A15,'Citrus Margin MAND - Baseline'!$A$7:$BC$41,COLUMNS('Citrus Margin MAND - Baseline'!$A18:$BA18),0)</f>
        <v>14302.617282683095</v>
      </c>
      <c r="AZ15" s="64">
        <f>+VLOOKUP($A15,'Citrus Margin MAND - Baseline'!$A$7:$BC$41,COLUMNS('Citrus Margin MAND - Baseline'!$A18:$BC18),0)</f>
        <v>29.468542940740665</v>
      </c>
      <c r="BA15" s="62">
        <f>+VLOOKUP($A15,'Citrus Margin MAND- Alternative'!$A$7:$BX$41,COLUMNS('Citrus Margin MAND- Alternative'!$A18:$C18),0)</f>
        <v>969.41572812606591</v>
      </c>
      <c r="BB15" s="62">
        <f>'Citrus Margin MAND- Alternative'!F18</f>
        <v>45</v>
      </c>
      <c r="BC15" s="62">
        <f>VLOOKUP($A15,'Citrus Margin MAND- Alternative'!$A$7:$BC$41,COLUMNS('Citrus Margin MAND- Alternative'!$A18:$I18),0)</f>
        <v>43623.707765672967</v>
      </c>
      <c r="BD15" s="62">
        <f>VLOOKUP($A15,'Citrus Margin MAND- Alternative'!$A$7:$BC$41,COLUMNS('Citrus Margin MAND- Alternative'!$A18:$AZ18),0)</f>
        <v>29321.090482989872</v>
      </c>
      <c r="BE15" s="62">
        <f>VLOOKUP($A15,'Citrus Margin MAND- Alternative'!$A$7:$BX$41,COLUMNS('Citrus Margin MAND- Alternative'!$A18:$BC18),0)</f>
        <v>14302.617282683095</v>
      </c>
      <c r="BF15" s="64">
        <f>+VLOOKUP($A15,'Citrus Margin MAND- Alternative'!$A$7:$BX$41,COLUMNS('Citrus Margin MAND- Alternative'!$A18:$BF18),0)</f>
        <v>29.468542940740665</v>
      </c>
    </row>
    <row r="16" spans="1:58" x14ac:dyDescent="0.2">
      <c r="A16" s="8">
        <f t="shared" si="0"/>
        <v>2033</v>
      </c>
      <c r="B16" s="34">
        <f>+VLOOKUP($A16,'Almonds Margin - Baseline'!$A$5:$BL$39,COLUMNS('Almonds Margin - Baseline'!$A22:$B22),0)</f>
        <v>9289.7724346709274</v>
      </c>
      <c r="C16" s="34">
        <f t="shared" si="1"/>
        <v>9.2897724346709278</v>
      </c>
      <c r="D16" s="28">
        <f>+VLOOKUP($A16,'Almonds Margin - Baseline'!$A$5:$BL$39,COLUMNS('Almonds Margin - Baseline'!$A22:$D22),0)</f>
        <v>2.48</v>
      </c>
      <c r="E16" s="28">
        <f>+VLOOKUP($A16,'Almonds Margin - Baseline'!$A$5:$BL$39,COLUMNS('Almonds Margin - Baseline'!$A22:$F22),0)</f>
        <v>23038.635637983898</v>
      </c>
      <c r="F16" s="28">
        <f>+VLOOKUP($A16,'Almonds Margin - Baseline'!$A$5:$BL$39,COLUMNS('Almonds Margin - Baseline'!$A22:$BH22),0)</f>
        <v>19676.855315005207</v>
      </c>
      <c r="G16" s="28">
        <f>+VLOOKUP($A16,'Almonds Margin - Baseline'!$A$5:$BL$39,COLUMNS('Almonds Margin - Baseline'!$A22:$BJ22),0)</f>
        <v>3361.7803229786914</v>
      </c>
      <c r="H16" s="166">
        <f>+VLOOKUP($A16,'Almonds Margin - Baseline'!$A$5:$BL$39,COLUMNS('Almonds Margin - Baseline'!$A22:$BL22),0)</f>
        <v>1.8172040207538571</v>
      </c>
      <c r="I16" s="34">
        <f>+VLOOKUP($A16,'Almonds Margin - Alternative'!$A$7:$BT$41,COLUMNS('Almonds Margin - Alternative'!$A24:$D24),0)</f>
        <v>9289.7724346709274</v>
      </c>
      <c r="J16" s="34">
        <f t="shared" si="2"/>
        <v>9.2897724346709278</v>
      </c>
      <c r="K16" s="28">
        <f>'Almonds Margin - Alternative'!H19</f>
        <v>2.48</v>
      </c>
      <c r="L16" s="28">
        <f>+VLOOKUP($A16,'Almonds Margin - Alternative'!$A$7:$BT$41,COLUMNS('Almonds Margin - Alternative'!$A24:$K24),0)</f>
        <v>23038.635637983898</v>
      </c>
      <c r="M16" s="28">
        <f>+VLOOKUP($A16,'Almonds Margin - Alternative'!$A$7:$BT$41,COLUMNS('Almonds Margin - Alternative'!$A24:$BO24),0)</f>
        <v>19676.855315005207</v>
      </c>
      <c r="N16" s="28">
        <f>+VLOOKUP($A16,'Almonds Margin - Alternative'!$A$7:$BT$41,COLUMNS('Almonds Margin - Alternative'!$A24:$BR24),0)</f>
        <v>3361.7803229786914</v>
      </c>
      <c r="O16" s="158">
        <f>+VLOOKUP($A16,'Almonds Margin - Alternative'!$A$7:$CA$41,COLUMNS('Almonds Margin - Alternative'!$A24:$BU24),0)</f>
        <v>1.8172040207538571</v>
      </c>
      <c r="P16" s="28">
        <f>+VLOOKUP($A16,'Almonds Margin - Alter.Ex.Rate'!$A$7:$BL$41,COLUMNS('Almonds Margin - Alter.Ex.Rate'!$A24:$BJ24),0)</f>
        <v>5798.1323515793883</v>
      </c>
      <c r="Q16" s="34">
        <f>+VLOOKUP($A16,'Almonds Margin - Alter.Ex.Rate'!$A$7:$BL$41,COLUMNS('Almonds Margin - Alter.Ex.Rate'!$A24:$BL24),0)</f>
        <v>1.7655969224125345</v>
      </c>
      <c r="R16" s="34">
        <f>+VLOOKUP($A16,'Almonds Margin - Baseline'!$A$5:$BL$39,COLUMNS( 'Almonds Margin - Baseline'!$A22:$B22),0)</f>
        <v>9289.7724346709274</v>
      </c>
      <c r="S16" s="28">
        <f>+VLOOKUP($A16,'Almonds Margin - Baseline'!$A$5:$BL$39,COLUMNS('Almonds Margin - Baseline'!$A22:$D22),0)</f>
        <v>2.48</v>
      </c>
      <c r="T16" s="28">
        <f>+VLOOKUP($A16,'Almonds Margin - Baseline'!$A$5:$BL$39,COLUMNS('Almonds Margin - Baseline'!$A22:$F22),0)</f>
        <v>23038.635637983898</v>
      </c>
      <c r="U16" s="28" t="e">
        <f>+VLOOKUP($A16,#REF!,COLUMNS(#REF!),0)</f>
        <v>#REF!</v>
      </c>
      <c r="V16" s="62">
        <f>+VLOOKUP($A16,'Grapes Margin - Baseline'!$A$7:$BC$41,COLUMNS('Grapes Margin - Baseline'!$A21:$C21),0)</f>
        <v>4287.5872775404268</v>
      </c>
      <c r="W16" s="104">
        <f>'Grapes Margin - Baseline'!F19</f>
        <v>15.4</v>
      </c>
      <c r="X16" s="62">
        <f>VLOOKUP($A16,'Grapes Margin - Baseline'!$A$7:$BC$41,COLUMNS('Grapes Margin - Baseline'!$A19:$I19),0)</f>
        <v>66028.844074122579</v>
      </c>
      <c r="Y16" s="62">
        <f>VLOOKUP($A16,'Grapes Margin - Baseline'!$A$7:$CA$41,COLUMNS('Grapes Margin - Baseline'!$A19:$BD19),0)</f>
        <v>25202.049408688345</v>
      </c>
      <c r="Z16" s="62">
        <f>+VLOOKUP($A16,'Grapes Margin - Baseline'!$A$7:$CA$41,COLUMNS('Grapes Margin - Baseline'!$A19:$BF19),0)</f>
        <v>40826.794665434238</v>
      </c>
      <c r="AA16" s="64">
        <f>+VLOOKUP($A16,'Grapes Margin - Baseline'!$A$7:$CA$41,COLUMNS('Grapes Margin - Baseline'!$A19:$BH19),0)</f>
        <v>5.6234891006506835</v>
      </c>
      <c r="AB16" s="62">
        <f>+VLOOKUP($A16,'Grapes Margin - Alternative'!$A$7:$BY$41,COLUMNS('Grapes Margin - Alternative'!$A19:$C19),0)</f>
        <v>4287.5872775404268</v>
      </c>
      <c r="AC16" s="62">
        <f>'Grapes Margin - Alternative'!F19</f>
        <v>15.4</v>
      </c>
      <c r="AD16" s="62">
        <f>VLOOKUP($A16,'Grapes Margin - Alternative'!$A$7:$BB$41,COLUMNS('Grapes Margin - Alternative'!$A19:$J19),0)</f>
        <v>66028.844074122579</v>
      </c>
      <c r="AE16" s="62">
        <f>VLOOKUP($A16,'Grapes Margin - Alternative'!$A$7:$BY$41,COLUMNS('Grapes Margin - Alternative'!$A19:$BF19),0)</f>
        <v>25202.650023819442</v>
      </c>
      <c r="AF16" s="62">
        <f>VLOOKUP($A16,'Grapes Margin - Alternative'!$A$7:$BY$41,COLUMNS('Grapes Margin - Alternative'!$A19:$BI19),0)</f>
        <v>40826.194050303136</v>
      </c>
      <c r="AG16" s="64">
        <f>+VLOOKUP($A16,'Grapes Margin - Alternative'!$A$7:$BY$41,COLUMNS('Grapes Margin - Alternative'!$A19:$BL19),0)</f>
        <v>5.6236329800849347</v>
      </c>
      <c r="AH16" s="62">
        <f>+VLOOKUP($A16,'Citrus Margin ORAG - Baseline'!$A$7:$BC$41,COLUMNS('Citrus Margin ORAG - Baseline'!$A19:$C19),0)</f>
        <v>714.5978795900711</v>
      </c>
      <c r="AI16" s="104">
        <f>+VLOOKUP($A16,'Citrus Margin ORAG - Baseline'!$A$7:$BC$41,COLUMNS('Citrus Margin ORAG - Baseline'!$A19:$F19),0)</f>
        <v>40</v>
      </c>
      <c r="AJ16" s="62">
        <f>VLOOKUP($A16,'Citrus Margin ORAG - Baseline'!$A$7:$BC$41,COLUMNS('Citrus Margin ORAG - Baseline'!$A19:$I19),0)</f>
        <v>28583.915183602843</v>
      </c>
      <c r="AK16" s="62">
        <f>VLOOKUP($A16,'Citrus Margin ORAG - Baseline'!$A$7:$BC$41,COLUMNS('Citrus Margin ORAG - Baseline'!$A19:$AY19),0)</f>
        <v>19424.999951607806</v>
      </c>
      <c r="AL16" s="62">
        <f>+VLOOKUP($A16,'Citrus Margin ORAG - Baseline'!$A$7:$BC$41,COLUMNS('Citrus Margin ORAG - Baseline'!$A19:$BA19),0)</f>
        <v>9158.9152319950372</v>
      </c>
      <c r="AM16" s="64">
        <f>+VLOOKUP($A16,'Citrus Margin ORAG - Baseline'!$A$7:$BC$41,COLUMNS('Citrus Margin ORAG - Baseline'!$A19:$BC19),0)</f>
        <v>26.180922605541998</v>
      </c>
      <c r="AN16" s="62">
        <f>+VLOOKUP($A16,'Citrus Margin ORAG- Alternative'!$A$7:$BW$41,COLUMNS('Citrus Margin ORAG- Alternative'!$A19:$E19),0)</f>
        <v>714.5978795900711</v>
      </c>
      <c r="AO16" s="62">
        <f>'Citrus Margin ORAG- Alternative'!H19</f>
        <v>40</v>
      </c>
      <c r="AP16" s="62">
        <f>VLOOKUP($A16,'Citrus Margin ORAG- Alternative'!$A$7:$BB$41,COLUMNS('Citrus Margin ORAG- Alternative'!$A19:$J19),0)</f>
        <v>28583.915183602843</v>
      </c>
      <c r="AQ16" s="62">
        <f>VLOOKUP($A16,'Citrus Margin ORAG- Alternative'!$A$7:$CA$41,COLUMNS('Citrus Margin ORAG- Alternative'!$A19:BA19),0)</f>
        <v>19424.999951607806</v>
      </c>
      <c r="AR16" s="62">
        <f>VLOOKUP($A16,'Citrus Margin ORAG- Alternative'!$A$7:$BW$41,COLUMNS('Citrus Margin ORAG- Alternative'!$A19:$BD19),0)</f>
        <v>9158.9152319950372</v>
      </c>
      <c r="AS16" s="64">
        <f>+VLOOKUP($A16,'Citrus Margin ORAG- Alternative'!$A$7:$BW$41,COLUMNS('Citrus Margin ORAG- Alternative'!$A19:$BG19),0)</f>
        <v>26.180922605541998</v>
      </c>
      <c r="AU16" s="62">
        <f>+VLOOKUP($A16,'Citrus Margin MAND - Baseline'!$A$7:$CA$41,COLUMNS('Citrus Margin MAND - Baseline'!$A19:$C19),0)</f>
        <v>1000.4370314260999</v>
      </c>
      <c r="AV16" s="104">
        <f>+VLOOKUP($A16,'Citrus Margin MAND - Baseline'!$A$7:$CA$41,COLUMNS('Citrus Margin MAND - Baseline'!$A19:$F19),0)</f>
        <v>45</v>
      </c>
      <c r="AW16" s="62">
        <f>VLOOKUP($A16,'Citrus Margin MAND - Baseline'!$A$7:$CA$41,COLUMNS('Citrus Margin MAND - Baseline'!$A19:$I19),0)</f>
        <v>45019.666414174499</v>
      </c>
      <c r="AX16" s="62">
        <f>VLOOKUP($A16,'Citrus Margin MAND - Baseline'!$A$7:$BC$41,COLUMNS('Citrus Margin MAND - Baseline'!$A19:$AY19),0)</f>
        <v>30152.903333530896</v>
      </c>
      <c r="AY16" s="62">
        <f>+VLOOKUP($A16,'Citrus Margin MAND - Baseline'!$A$7:$BC$41,COLUMNS('Citrus Margin MAND - Baseline'!$A19:$BA19),0)</f>
        <v>14866.763080643603</v>
      </c>
      <c r="AZ16" s="64">
        <f>+VLOOKUP($A16,'Citrus Margin MAND - Baseline'!$A$7:$BC$41,COLUMNS('Citrus Margin MAND - Baseline'!$A19:$BC19),0)</f>
        <v>29.364896820236581</v>
      </c>
      <c r="BA16" s="62">
        <f>+VLOOKUP($A16,'Citrus Margin MAND- Alternative'!$A$7:$BX$41,COLUMNS('Citrus Margin MAND- Alternative'!$A19:$C19),0)</f>
        <v>1000.4370314260999</v>
      </c>
      <c r="BB16" s="62">
        <f>'Citrus Margin MAND- Alternative'!F19</f>
        <v>45</v>
      </c>
      <c r="BC16" s="62">
        <f>VLOOKUP($A16,'Citrus Margin MAND- Alternative'!$A$7:$BC$41,COLUMNS('Citrus Margin MAND- Alternative'!$A19:$I19),0)</f>
        <v>45019.666414174499</v>
      </c>
      <c r="BD16" s="62">
        <f>VLOOKUP($A16,'Citrus Margin MAND- Alternative'!$A$7:$BC$41,COLUMNS('Citrus Margin MAND- Alternative'!$A19:$AZ19),0)</f>
        <v>30152.903333530896</v>
      </c>
      <c r="BE16" s="62">
        <f>VLOOKUP($A16,'Citrus Margin MAND- Alternative'!$A$7:$BX$41,COLUMNS('Citrus Margin MAND- Alternative'!$A19:$BC19),0)</f>
        <v>14866.763080643603</v>
      </c>
      <c r="BF16" s="64">
        <f>+VLOOKUP($A16,'Citrus Margin MAND- Alternative'!$A$7:$BX$41,COLUMNS('Citrus Margin MAND- Alternative'!$A19:$BF19),0)</f>
        <v>29.364896820236581</v>
      </c>
    </row>
    <row r="17" spans="1:58" x14ac:dyDescent="0.2">
      <c r="A17" s="8">
        <f t="shared" si="0"/>
        <v>2034</v>
      </c>
      <c r="B17" s="34">
        <f>+VLOOKUP($A17,'Almonds Margin - Baseline'!$A$5:$BL$39,COLUMNS('Almonds Margin - Baseline'!$A23:$B23),0)</f>
        <v>9587.0451525803965</v>
      </c>
      <c r="C17" s="34">
        <f t="shared" si="1"/>
        <v>9.5870451525803961</v>
      </c>
      <c r="D17" s="28">
        <f>+VLOOKUP($A17,'Almonds Margin - Baseline'!$A$5:$BL$39,COLUMNS('Almonds Margin - Baseline'!$A23:$D23),0)</f>
        <v>2.48</v>
      </c>
      <c r="E17" s="28">
        <f>+VLOOKUP($A17,'Almonds Margin - Baseline'!$A$5:$BL$39,COLUMNS('Almonds Margin - Baseline'!$A23:$F23),0)</f>
        <v>23775.871978399384</v>
      </c>
      <c r="F17" s="28">
        <f>+VLOOKUP($A17,'Almonds Margin - Baseline'!$A$5:$BL$39,COLUMNS('Almonds Margin - Baseline'!$A23:$BH23),0)</f>
        <v>20165.214202633942</v>
      </c>
      <c r="G17" s="28">
        <f>+VLOOKUP($A17,'Almonds Margin - Baseline'!$A$5:$BL$39,COLUMNS('Almonds Margin - Baseline'!$A23:$BJ23),0)</f>
        <v>3610.6577757654413</v>
      </c>
      <c r="H17" s="166">
        <f>+VLOOKUP($A17,'Almonds Margin - Baseline'!$A$5:$BL$39,COLUMNS('Almonds Margin - Baseline'!$A23:$BL23),0)</f>
        <v>1.8025806854494923</v>
      </c>
      <c r="I17" s="34">
        <f>+VLOOKUP($A17,'Almonds Margin - Alternative'!$A$7:$BT$41,COLUMNS('Almonds Margin - Alternative'!$A25:$D25),0)</f>
        <v>9587.0451525803965</v>
      </c>
      <c r="J17" s="34">
        <f t="shared" si="2"/>
        <v>9.5870451525803961</v>
      </c>
      <c r="K17" s="28">
        <f>'Almonds Margin - Alternative'!H20</f>
        <v>2.48</v>
      </c>
      <c r="L17" s="28">
        <f>+VLOOKUP($A17,'Almonds Margin - Alternative'!$A$7:$BT$41,COLUMNS('Almonds Margin - Alternative'!$A25:$K25),0)</f>
        <v>23775.871978399384</v>
      </c>
      <c r="M17" s="28">
        <f>+VLOOKUP($A17,'Almonds Margin - Alternative'!$A$7:$BT$41,COLUMNS('Almonds Margin - Alternative'!$A25:$BO25),0)</f>
        <v>20165.214202633942</v>
      </c>
      <c r="N17" s="28">
        <f>+VLOOKUP($A17,'Almonds Margin - Alternative'!$A$7:$BT$41,COLUMNS('Almonds Margin - Alternative'!$A25:$BR25),0)</f>
        <v>3610.6577757654413</v>
      </c>
      <c r="O17" s="158">
        <f>+VLOOKUP($A17,'Almonds Margin - Alternative'!$A$7:$CA$41,COLUMNS('Almonds Margin - Alternative'!$A25:$BU25),0)</f>
        <v>1.8025806854494923</v>
      </c>
      <c r="P17" s="28">
        <f>+VLOOKUP($A17,'Almonds Margin - Alter.Ex.Rate'!$A$7:$BL$41,COLUMNS('Almonds Margin - Alter.Ex.Rate'!$A25:$BJ25),0)</f>
        <v>6149.3758022076909</v>
      </c>
      <c r="Q17" s="34">
        <f>+VLOOKUP($A17,'Almonds Margin - Alter.Ex.Rate'!$A$7:$BL$41,COLUMNS('Almonds Margin - Alter.Ex.Rate'!$A25:$BL25),0)</f>
        <v>1.7461022502820369</v>
      </c>
      <c r="R17" s="34">
        <f>+VLOOKUP($A17,'Almonds Margin - Baseline'!$A$5:$BL$39,COLUMNS( 'Almonds Margin - Baseline'!$A23:$B23),0)</f>
        <v>9587.0451525803965</v>
      </c>
      <c r="S17" s="28">
        <f>+VLOOKUP($A17,'Almonds Margin - Baseline'!$A$5:$BL$39,COLUMNS('Almonds Margin - Baseline'!$A23:$D23),0)</f>
        <v>2.48</v>
      </c>
      <c r="T17" s="28">
        <f>+VLOOKUP($A17,'Almonds Margin - Baseline'!$A$5:$BL$39,COLUMNS('Almonds Margin - Baseline'!$A23:$F23),0)</f>
        <v>23775.871978399384</v>
      </c>
      <c r="U17" s="28" t="e">
        <f>+VLOOKUP($A17,#REF!,COLUMNS(#REF!),0)</f>
        <v>#REF!</v>
      </c>
      <c r="V17" s="62">
        <f>+VLOOKUP($A17,'Grapes Margin - Baseline'!$A$7:$BC$41,COLUMNS('Grapes Margin - Baseline'!$A22:$C22),0)</f>
        <v>4424.79007042172</v>
      </c>
      <c r="W17" s="104">
        <f>'Grapes Margin - Baseline'!F20</f>
        <v>15.4</v>
      </c>
      <c r="X17" s="62">
        <f>VLOOKUP($A17,'Grapes Margin - Baseline'!$A$7:$BC$41,COLUMNS('Grapes Margin - Baseline'!$A20:$I20),0)</f>
        <v>68141.767084494495</v>
      </c>
      <c r="Y17" s="62">
        <f>VLOOKUP($A17,'Grapes Margin - Baseline'!$A$7:$CA$41,COLUMNS('Grapes Margin - Baseline'!$A20:$BD20),0)</f>
        <v>25922.570162779331</v>
      </c>
      <c r="Z17" s="62">
        <f>+VLOOKUP($A17,'Grapes Margin - Baseline'!$A$7:$CA$41,COLUMNS('Grapes Margin - Baseline'!$A20:$BF20),0)</f>
        <v>42219.196921715164</v>
      </c>
      <c r="AA17" s="64">
        <f>+VLOOKUP($A17,'Grapes Margin - Baseline'!$A$7:$CA$41,COLUMNS('Grapes Margin - Baseline'!$A20:$BH20),0)</f>
        <v>5.6042251224718731</v>
      </c>
      <c r="AB17" s="62">
        <f>+VLOOKUP($A17,'Grapes Margin - Alternative'!$A$7:$BY$41,COLUMNS('Grapes Margin - Alternative'!$A20:$C20),0)</f>
        <v>4424.79007042172</v>
      </c>
      <c r="AC17" s="62">
        <f>'Grapes Margin - Alternative'!F20</f>
        <v>15.4</v>
      </c>
      <c r="AD17" s="62">
        <f>VLOOKUP($A17,'Grapes Margin - Alternative'!$A$7:$BB$41,COLUMNS('Grapes Margin - Alternative'!$A20:$J20),0)</f>
        <v>68141.767084494495</v>
      </c>
      <c r="AE17" s="62">
        <f>VLOOKUP($A17,'Grapes Margin - Alternative'!$A$7:$BY$41,COLUMNS('Grapes Margin - Alternative'!$A20:$BF20),0)</f>
        <v>25923.169910778015</v>
      </c>
      <c r="AF17" s="62">
        <f>VLOOKUP($A17,'Grapes Margin - Alternative'!$A$7:$BY$41,COLUMNS('Grapes Margin - Alternative'!$A20:$BI20),0)</f>
        <v>42218.59717371648</v>
      </c>
      <c r="AG17" s="64">
        <f>+VLOOKUP($A17,'Grapes Margin - Alternative'!$A$7:$BY$41,COLUMNS('Grapes Margin - Alternative'!$A20:$BL20),0)</f>
        <v>5.6043643278706012</v>
      </c>
      <c r="AH17" s="62">
        <f>+VLOOKUP($A17,'Citrus Margin ORAG - Baseline'!$A$7:$BC$41,COLUMNS('Citrus Margin ORAG - Baseline'!$A20:$C20),0)</f>
        <v>737.46501173695333</v>
      </c>
      <c r="AI17" s="104">
        <f>+VLOOKUP($A17,'Citrus Margin ORAG - Baseline'!$A$7:$BC$41,COLUMNS('Citrus Margin ORAG - Baseline'!$A20:$F20),0)</f>
        <v>40</v>
      </c>
      <c r="AJ17" s="62">
        <f>VLOOKUP($A17,'Citrus Margin ORAG - Baseline'!$A$7:$BC$41,COLUMNS('Citrus Margin ORAG - Baseline'!$A20:$I20),0)</f>
        <v>29498.600469478133</v>
      </c>
      <c r="AK17" s="62">
        <f>VLOOKUP($A17,'Citrus Margin ORAG - Baseline'!$A$7:$BC$41,COLUMNS('Citrus Margin ORAG - Baseline'!$A20:$AY20),0)</f>
        <v>19943.486231363575</v>
      </c>
      <c r="AL17" s="62">
        <f>+VLOOKUP($A17,'Citrus Margin ORAG - Baseline'!$A$7:$BC$41,COLUMNS('Citrus Margin ORAG - Baseline'!$A20:$BA20),0)</f>
        <v>9555.1142381145582</v>
      </c>
      <c r="AM17" s="64">
        <f>+VLOOKUP($A17,'Citrus Margin ORAG - Baseline'!$A$7:$BC$41,COLUMNS('Citrus Margin ORAG - Baseline'!$A20:$BC20),0)</f>
        <v>26.043272155842804</v>
      </c>
      <c r="AN17" s="62">
        <f>+VLOOKUP($A17,'Citrus Margin ORAG- Alternative'!$A$7:$BW$41,COLUMNS('Citrus Margin ORAG- Alternative'!$A20:$E20),0)</f>
        <v>737.46501173695333</v>
      </c>
      <c r="AO17" s="62">
        <f>'Citrus Margin ORAG- Alternative'!H20</f>
        <v>40</v>
      </c>
      <c r="AP17" s="62">
        <f>VLOOKUP($A17,'Citrus Margin ORAG- Alternative'!$A$7:$BB$41,COLUMNS('Citrus Margin ORAG- Alternative'!$A20:$J20),0)</f>
        <v>29498.600469478133</v>
      </c>
      <c r="AQ17" s="62">
        <f>VLOOKUP($A17,'Citrus Margin ORAG- Alternative'!$A$7:$CA$41,COLUMNS('Citrus Margin ORAG- Alternative'!$A20:BA20),0)</f>
        <v>19943.486231363575</v>
      </c>
      <c r="AR17" s="62">
        <f>VLOOKUP($A17,'Citrus Margin ORAG- Alternative'!$A$7:$BW$41,COLUMNS('Citrus Margin ORAG- Alternative'!$A20:$BD20),0)</f>
        <v>9555.1142381145582</v>
      </c>
      <c r="AS17" s="64">
        <f>+VLOOKUP($A17,'Citrus Margin ORAG- Alternative'!$A$7:$BW$41,COLUMNS('Citrus Margin ORAG- Alternative'!$A20:$BG20),0)</f>
        <v>26.043272155842804</v>
      </c>
      <c r="AU17" s="62">
        <f>+VLOOKUP($A17,'Citrus Margin MAND - Baseline'!$A$7:$CA$41,COLUMNS('Citrus Margin MAND - Baseline'!$A20:$C20),0)</f>
        <v>1032.4510164317351</v>
      </c>
      <c r="AV17" s="104">
        <f>+VLOOKUP($A17,'Citrus Margin MAND - Baseline'!$A$7:$CA$41,COLUMNS('Citrus Margin MAND - Baseline'!$A20:$F20),0)</f>
        <v>45</v>
      </c>
      <c r="AW17" s="62">
        <f>VLOOKUP($A17,'Citrus Margin MAND - Baseline'!$A$7:$CA$41,COLUMNS('Citrus Margin MAND - Baseline'!$A20:$I20),0)</f>
        <v>46460.295739428075</v>
      </c>
      <c r="AX17" s="62">
        <f>VLOOKUP($A17,'Citrus Margin MAND - Baseline'!$A$7:$BC$41,COLUMNS('Citrus Margin MAND - Baseline'!$A20:$AY20),0)</f>
        <v>31015.719709921454</v>
      </c>
      <c r="AY17" s="62">
        <f>+VLOOKUP($A17,'Citrus Margin MAND - Baseline'!$A$7:$BC$41,COLUMNS('Citrus Margin MAND - Baseline'!$A20:$BA20),0)</f>
        <v>15444.576029506621</v>
      </c>
      <c r="AZ17" s="64">
        <f>+VLOOKUP($A17,'Citrus Margin MAND - Baseline'!$A$7:$BC$41,COLUMNS('Citrus Margin MAND - Baseline'!$A20:$BC20),0)</f>
        <v>29.268872971196288</v>
      </c>
      <c r="BA17" s="62">
        <f>+VLOOKUP($A17,'Citrus Margin MAND- Alternative'!$A$7:$BX$41,COLUMNS('Citrus Margin MAND- Alternative'!$A20:$C20),0)</f>
        <v>1032.4510164317351</v>
      </c>
      <c r="BB17" s="62">
        <f>'Citrus Margin MAND- Alternative'!F20</f>
        <v>45</v>
      </c>
      <c r="BC17" s="62">
        <f>VLOOKUP($A17,'Citrus Margin MAND- Alternative'!$A$7:$BC$41,COLUMNS('Citrus Margin MAND- Alternative'!$A20:$I20),0)</f>
        <v>46460.295739428075</v>
      </c>
      <c r="BD17" s="62">
        <f>VLOOKUP($A17,'Citrus Margin MAND- Alternative'!$A$7:$BC$41,COLUMNS('Citrus Margin MAND- Alternative'!$A20:$AZ20),0)</f>
        <v>31015.719709921454</v>
      </c>
      <c r="BE17" s="62">
        <f>VLOOKUP($A17,'Citrus Margin MAND- Alternative'!$A$7:$BX$41,COLUMNS('Citrus Margin MAND- Alternative'!$A20:$BC20),0)</f>
        <v>15444.576029506621</v>
      </c>
      <c r="BF17" s="64">
        <f>+VLOOKUP($A17,'Citrus Margin MAND- Alternative'!$A$7:$BX$41,COLUMNS('Citrus Margin MAND- Alternative'!$A20:$BF20),0)</f>
        <v>29.268872971196288</v>
      </c>
    </row>
    <row r="18" spans="1:58" x14ac:dyDescent="0.2">
      <c r="A18" s="8">
        <f t="shared" si="0"/>
        <v>2035</v>
      </c>
      <c r="B18" s="34">
        <f>+VLOOKUP($A18,'Almonds Margin - Baseline'!$A$5:$BL$39,COLUMNS('Almonds Margin - Baseline'!$A24:$B24),0)</f>
        <v>9893.8305974629693</v>
      </c>
      <c r="C18" s="34">
        <f t="shared" si="1"/>
        <v>9.8938305974629692</v>
      </c>
      <c r="D18" s="28">
        <f>+VLOOKUP($A18,'Almonds Margin - Baseline'!$A$5:$BL$39,COLUMNS('Almonds Margin - Baseline'!$A24:$D24),0)</f>
        <v>2.48</v>
      </c>
      <c r="E18" s="28">
        <f>+VLOOKUP($A18,'Almonds Margin - Baseline'!$A$5:$BL$39,COLUMNS('Almonds Margin - Baseline'!$A24:$F24),0)</f>
        <v>24536.699881708162</v>
      </c>
      <c r="F18" s="28">
        <f>+VLOOKUP($A18,'Almonds Margin - Baseline'!$A$5:$BL$39,COLUMNS('Almonds Margin - Baseline'!$A24:$BH24),0)</f>
        <v>20663.083059155855</v>
      </c>
      <c r="G18" s="28">
        <f>+VLOOKUP($A18,'Almonds Margin - Baseline'!$A$5:$BL$39,COLUMNS('Almonds Margin - Baseline'!$A24:$BJ24),0)</f>
        <v>3873.616822552307</v>
      </c>
      <c r="H18" s="166">
        <f>+VLOOKUP($A18,'Almonds Margin - Baseline'!$A$5:$BL$39,COLUMNS('Almonds Margin - Baseline'!$A24:$BL24),0)</f>
        <v>1.7877917472147791</v>
      </c>
      <c r="I18" s="34">
        <f>+VLOOKUP($A18,'Almonds Margin - Alternative'!$A$7:$BT$41,COLUMNS('Almonds Margin - Alternative'!$A26:$D26),0)</f>
        <v>9893.8305974629693</v>
      </c>
      <c r="J18" s="34">
        <f t="shared" si="2"/>
        <v>9.8938305974629692</v>
      </c>
      <c r="K18" s="28">
        <f>'Almonds Margin - Alternative'!H21</f>
        <v>2.48</v>
      </c>
      <c r="L18" s="28">
        <f>+VLOOKUP($A18,'Almonds Margin - Alternative'!$A$7:$BT$41,COLUMNS('Almonds Margin - Alternative'!$A26:$K26),0)</f>
        <v>24536.699881708162</v>
      </c>
      <c r="M18" s="28">
        <f>+VLOOKUP($A18,'Almonds Margin - Alternative'!$A$7:$BT$41,COLUMNS('Almonds Margin - Alternative'!$A26:$BO26),0)</f>
        <v>20663.083059155855</v>
      </c>
      <c r="N18" s="28">
        <f>+VLOOKUP($A18,'Almonds Margin - Alternative'!$A$7:$BT$41,COLUMNS('Almonds Margin - Alternative'!$A26:$BR26),0)</f>
        <v>3873.616822552307</v>
      </c>
      <c r="O18" s="158">
        <f>+VLOOKUP($A18,'Almonds Margin - Alternative'!$A$7:$CA$41,COLUMNS('Almonds Margin - Alternative'!$A26:$BU26),0)</f>
        <v>1.7877917472147791</v>
      </c>
      <c r="P18" s="28">
        <f>+VLOOKUP($A18,'Almonds Margin - Alter.Ex.Rate'!$A$7:$BL$41,COLUMNS('Almonds Margin - Alter.Ex.Rate'!$A26:$BJ26),0)</f>
        <v>6516.0637089526826</v>
      </c>
      <c r="Q18" s="34">
        <f>+VLOOKUP($A18,'Almonds Margin - Alter.Ex.Rate'!$A$7:$BL$41,COLUMNS('Almonds Margin - Alter.Ex.Rate'!$A26:$BL26),0)</f>
        <v>1.7267292667259655</v>
      </c>
      <c r="R18" s="34">
        <f>+VLOOKUP($A18,'Almonds Margin - Baseline'!$A$5:$BL$39,COLUMNS( 'Almonds Margin - Baseline'!$A24:$B24),0)</f>
        <v>9893.8305974629693</v>
      </c>
      <c r="S18" s="28">
        <f>+VLOOKUP($A18,'Almonds Margin - Baseline'!$A$5:$BL$39,COLUMNS('Almonds Margin - Baseline'!$A24:$D24),0)</f>
        <v>2.48</v>
      </c>
      <c r="T18" s="28">
        <f>+VLOOKUP($A18,'Almonds Margin - Baseline'!$A$5:$BL$39,COLUMNS('Almonds Margin - Baseline'!$A24:$F24),0)</f>
        <v>24536.699881708162</v>
      </c>
      <c r="U18" s="28" t="e">
        <f>+VLOOKUP($A18,#REF!,COLUMNS(#REF!),0)</f>
        <v>#REF!</v>
      </c>
      <c r="V18" s="62">
        <f>+VLOOKUP($A18,'Grapes Margin - Baseline'!$A$7:$BC$41,COLUMNS('Grapes Margin - Baseline'!$A23:$C23),0)</f>
        <v>4566.3833526752151</v>
      </c>
      <c r="W18" s="104">
        <f>'Grapes Margin - Baseline'!F21</f>
        <v>15.4</v>
      </c>
      <c r="X18" s="62">
        <f>VLOOKUP($A18,'Grapes Margin - Baseline'!$A$7:$BC$41,COLUMNS('Grapes Margin - Baseline'!$A21:$I21),0)</f>
        <v>70322.303631198316</v>
      </c>
      <c r="Y18" s="62">
        <f>VLOOKUP($A18,'Grapes Margin - Baseline'!$A$7:$CA$41,COLUMNS('Grapes Margin - Baseline'!$A21:$BD21),0)</f>
        <v>26662.608202734344</v>
      </c>
      <c r="Z18" s="62">
        <f>+VLOOKUP($A18,'Grapes Margin - Baseline'!$A$7:$CA$41,COLUMNS('Grapes Margin - Baseline'!$A21:$BF21),0)</f>
        <v>43659.695428463972</v>
      </c>
      <c r="AA18" s="64">
        <f>+VLOOKUP($A18,'Grapes Margin - Baseline'!$A$7:$CA$41,COLUMNS('Grapes Margin - Baseline'!$A21:$BH21),0)</f>
        <v>5.5847655032417896</v>
      </c>
      <c r="AB18" s="62">
        <f>+VLOOKUP($A18,'Grapes Margin - Alternative'!$A$7:$BY$41,COLUMNS('Grapes Margin - Alternative'!$A21:$C21),0)</f>
        <v>4566.3833526752151</v>
      </c>
      <c r="AC18" s="62">
        <f>'Grapes Margin - Alternative'!F21</f>
        <v>15.4</v>
      </c>
      <c r="AD18" s="62">
        <f>VLOOKUP($A18,'Grapes Margin - Alternative'!$A$7:$BB$41,COLUMNS('Grapes Margin - Alternative'!$A21:$J21),0)</f>
        <v>70322.303631198316</v>
      </c>
      <c r="AE18" s="62">
        <f>VLOOKUP($A18,'Grapes Margin - Alternative'!$A$7:$BY$41,COLUMNS('Grapes Margin - Alternative'!$A21:$BF21),0)</f>
        <v>26663.206178320572</v>
      </c>
      <c r="AF18" s="62">
        <f>VLOOKUP($A18,'Grapes Margin - Alternative'!$A$7:$BY$41,COLUMNS('Grapes Margin - Alternative'!$A21:$BI21),0)</f>
        <v>43659.097452877744</v>
      </c>
      <c r="AG18" s="64">
        <f>+VLOOKUP($A18,'Grapes Margin - Alternative'!$A$7:$BY$41,COLUMNS('Grapes Margin - Alternative'!$A21:$BL21),0)</f>
        <v>5.5848999829153554</v>
      </c>
      <c r="AH18" s="62">
        <f>+VLOOKUP($A18,'Citrus Margin ORAG - Baseline'!$A$7:$BC$41,COLUMNS('Citrus Margin ORAG - Baseline'!$A21:$C21),0)</f>
        <v>761.06389211253588</v>
      </c>
      <c r="AI18" s="104">
        <f>+VLOOKUP($A18,'Citrus Margin ORAG - Baseline'!$A$7:$BC$41,COLUMNS('Citrus Margin ORAG - Baseline'!$A21:$F21),0)</f>
        <v>40</v>
      </c>
      <c r="AJ18" s="62">
        <f>VLOOKUP($A18,'Citrus Margin ORAG - Baseline'!$A$7:$BC$41,COLUMNS('Citrus Margin ORAG - Baseline'!$A21:$I21),0)</f>
        <v>30442.555684501436</v>
      </c>
      <c r="AK18" s="62">
        <f>VLOOKUP($A18,'Citrus Margin ORAG - Baseline'!$A$7:$BC$41,COLUMNS('Citrus Margin ORAG - Baseline'!$A21:$AY21),0)</f>
        <v>20474.355720232947</v>
      </c>
      <c r="AL18" s="62">
        <f>+VLOOKUP($A18,'Citrus Margin ORAG - Baseline'!$A$7:$BC$41,COLUMNS('Citrus Margin ORAG - Baseline'!$A21:$BA21),0)</f>
        <v>9968.1999642684896</v>
      </c>
      <c r="AM18" s="64">
        <f>+VLOOKUP($A18,'Citrus Margin ORAG - Baseline'!$A$7:$BC$41,COLUMNS('Citrus Margin ORAG - Baseline'!$A21:$BC21),0)</f>
        <v>25.904062874498194</v>
      </c>
      <c r="AN18" s="62">
        <f>+VLOOKUP($A18,'Citrus Margin ORAG- Alternative'!$A$7:$BW$41,COLUMNS('Citrus Margin ORAG- Alternative'!$A21:$E21),0)</f>
        <v>761.06389211253588</v>
      </c>
      <c r="AO18" s="62">
        <f>'Citrus Margin ORAG- Alternative'!H21</f>
        <v>40</v>
      </c>
      <c r="AP18" s="62">
        <f>VLOOKUP($A18,'Citrus Margin ORAG- Alternative'!$A$7:$BB$41,COLUMNS('Citrus Margin ORAG- Alternative'!$A21:$J21),0)</f>
        <v>30442.555684501436</v>
      </c>
      <c r="AQ18" s="62">
        <f>VLOOKUP($A18,'Citrus Margin ORAG- Alternative'!$A$7:$CA$41,COLUMNS('Citrus Margin ORAG- Alternative'!$A21:BA21),0)</f>
        <v>20474.355720232947</v>
      </c>
      <c r="AR18" s="62">
        <f>VLOOKUP($A18,'Citrus Margin ORAG- Alternative'!$A$7:$BW$41,COLUMNS('Citrus Margin ORAG- Alternative'!$A21:$BD21),0)</f>
        <v>9968.1999642684896</v>
      </c>
      <c r="AS18" s="64">
        <f>+VLOOKUP($A18,'Citrus Margin ORAG- Alternative'!$A$7:$BW$41,COLUMNS('Citrus Margin ORAG- Alternative'!$A21:$BG21),0)</f>
        <v>25.904062874498194</v>
      </c>
      <c r="AU18" s="62">
        <f>+VLOOKUP($A18,'Citrus Margin MAND - Baseline'!$A$7:$CA$41,COLUMNS('Citrus Margin MAND - Baseline'!$A21:$C21),0)</f>
        <v>1065.4894489575506</v>
      </c>
      <c r="AV18" s="104">
        <f>+VLOOKUP($A18,'Citrus Margin MAND - Baseline'!$A$7:$CA$41,COLUMNS('Citrus Margin MAND - Baseline'!$A21:$F21),0)</f>
        <v>45</v>
      </c>
      <c r="AW18" s="62">
        <f>VLOOKUP($A18,'Citrus Margin MAND - Baseline'!$A$7:$CA$41,COLUMNS('Citrus Margin MAND - Baseline'!$A21:$I21),0)</f>
        <v>47947.025203089775</v>
      </c>
      <c r="AX18" s="62">
        <f>VLOOKUP($A18,'Citrus Margin MAND - Baseline'!$A$7:$BC$41,COLUMNS('Citrus Margin MAND - Baseline'!$A21:$AY21),0)</f>
        <v>31901.973034745843</v>
      </c>
      <c r="AY18" s="62">
        <f>+VLOOKUP($A18,'Citrus Margin MAND - Baseline'!$A$7:$BC$41,COLUMNS('Citrus Margin MAND - Baseline'!$A21:$BA21),0)</f>
        <v>16045.052168343933</v>
      </c>
      <c r="AZ18" s="64">
        <f>+VLOOKUP($A18,'Citrus Margin MAND - Baseline'!$A$7:$BC$41,COLUMNS('Citrus Margin MAND - Baseline'!$A21:$BC21),0)</f>
        <v>29.171761693710057</v>
      </c>
      <c r="BA18" s="62">
        <f>+VLOOKUP($A18,'Citrus Margin MAND- Alternative'!$A$7:$BX$41,COLUMNS('Citrus Margin MAND- Alternative'!$A21:$C21),0)</f>
        <v>1065.4894489575506</v>
      </c>
      <c r="BB18" s="62">
        <f>'Citrus Margin MAND- Alternative'!F21</f>
        <v>45</v>
      </c>
      <c r="BC18" s="62">
        <f>VLOOKUP($A18,'Citrus Margin MAND- Alternative'!$A$7:$BC$41,COLUMNS('Citrus Margin MAND- Alternative'!$A21:$I21),0)</f>
        <v>47947.025203089775</v>
      </c>
      <c r="BD18" s="62">
        <f>VLOOKUP($A18,'Citrus Margin MAND- Alternative'!$A$7:$BC$41,COLUMNS('Citrus Margin MAND- Alternative'!$A21:$AZ21),0)</f>
        <v>31901.973034745843</v>
      </c>
      <c r="BE18" s="62">
        <f>VLOOKUP($A18,'Citrus Margin MAND- Alternative'!$A$7:$BX$41,COLUMNS('Citrus Margin MAND- Alternative'!$A21:$BC21),0)</f>
        <v>16045.052168343933</v>
      </c>
      <c r="BF18" s="64">
        <f>+VLOOKUP($A18,'Citrus Margin MAND- Alternative'!$A$7:$BX$41,COLUMNS('Citrus Margin MAND- Alternative'!$A21:$BF21),0)</f>
        <v>29.171761693710057</v>
      </c>
    </row>
    <row r="19" spans="1:58" x14ac:dyDescent="0.2">
      <c r="A19" s="8">
        <f t="shared" si="0"/>
        <v>2036</v>
      </c>
      <c r="B19" s="34">
        <f>+VLOOKUP($A19,'Almonds Margin - Baseline'!$A$5:$BL$39,COLUMNS('Almonds Margin - Baseline'!$A25:$B25),0)</f>
        <v>10210.433176581786</v>
      </c>
      <c r="C19" s="34">
        <f t="shared" si="1"/>
        <v>10.210433176581786</v>
      </c>
      <c r="D19" s="28">
        <f>+VLOOKUP($A19,'Almonds Margin - Baseline'!$A$5:$BL$39,COLUMNS('Almonds Margin - Baseline'!$A25:$D25),0)</f>
        <v>2.48</v>
      </c>
      <c r="E19" s="28">
        <f>+VLOOKUP($A19,'Almonds Margin - Baseline'!$A$5:$BL$39,COLUMNS('Almonds Margin - Baseline'!$A25:$F25),0)</f>
        <v>25321.874277922831</v>
      </c>
      <c r="F19" s="28">
        <f>+VLOOKUP($A19,'Almonds Margin - Baseline'!$A$5:$BL$39,COLUMNS('Almonds Margin - Baseline'!$A25:$BH25),0)</f>
        <v>21113.544464372888</v>
      </c>
      <c r="G19" s="28">
        <f>+VLOOKUP($A19,'Almonds Margin - Baseline'!$A$5:$BL$39,COLUMNS('Almonds Margin - Baseline'!$A25:$BJ25),0)</f>
        <v>4208.3298135499426</v>
      </c>
      <c r="H19" s="166">
        <f>+VLOOKUP($A19,'Almonds Margin - Baseline'!$A$5:$BL$39,COLUMNS('Almonds Margin - Baseline'!$A25:$BL25),0)</f>
        <v>1.7672507363176921</v>
      </c>
      <c r="I19" s="34">
        <f>+VLOOKUP($A19,'Almonds Margin - Alternative'!$A$7:$BT$41,COLUMNS('Almonds Margin - Alternative'!$A27:$D27),0)</f>
        <v>10210.433176581786</v>
      </c>
      <c r="J19" s="34">
        <f t="shared" si="2"/>
        <v>10.210433176581786</v>
      </c>
      <c r="K19" s="28">
        <f>'Almonds Margin - Alternative'!H22</f>
        <v>2.48</v>
      </c>
      <c r="L19" s="28">
        <f>+VLOOKUP($A19,'Almonds Margin - Alternative'!$A$7:$BT$41,COLUMNS('Almonds Margin - Alternative'!$A27:$K27),0)</f>
        <v>25321.874277922831</v>
      </c>
      <c r="M19" s="28">
        <f>+VLOOKUP($A19,'Almonds Margin - Alternative'!$A$7:$BT$41,COLUMNS('Almonds Margin - Alternative'!$A27:$BO27),0)</f>
        <v>21113.544464372888</v>
      </c>
      <c r="N19" s="28">
        <f>+VLOOKUP($A19,'Almonds Margin - Alternative'!$A$7:$BT$41,COLUMNS('Almonds Margin - Alternative'!$A27:$BR27),0)</f>
        <v>4208.3298135499426</v>
      </c>
      <c r="O19" s="158">
        <f>+VLOOKUP($A19,'Almonds Margin - Alternative'!$A$7:$CA$41,COLUMNS('Almonds Margin - Alternative'!$A27:$BU27),0)</f>
        <v>1.7672507363176921</v>
      </c>
      <c r="P19" s="28">
        <f>+VLOOKUP($A19,'Almonds Margin - Alter.Ex.Rate'!$A$7:$BL$41,COLUMNS('Almonds Margin - Alter.Ex.Rate'!$A27:$BJ27),0)</f>
        <v>6968.5374287460145</v>
      </c>
      <c r="Q19" s="34">
        <f>+VLOOKUP($A19,'Almonds Margin - Alter.Ex.Rate'!$A$7:$BL$41,COLUMNS('Almonds Margin - Alter.Ex.Rate'!$A27:$BL27),0)</f>
        <v>1.6997122768728603</v>
      </c>
      <c r="R19" s="34">
        <f>+VLOOKUP($A19,'Almonds Margin - Baseline'!$A$5:$BL$39,COLUMNS( 'Almonds Margin - Baseline'!$A25:$B25),0)</f>
        <v>10210.433176581786</v>
      </c>
      <c r="S19" s="28">
        <f>+VLOOKUP($A19,'Almonds Margin - Baseline'!$A$5:$BL$39,COLUMNS('Almonds Margin - Baseline'!$A25:$D25),0)</f>
        <v>2.48</v>
      </c>
      <c r="T19" s="28">
        <f>+VLOOKUP($A19,'Almonds Margin - Baseline'!$A$5:$BL$39,COLUMNS('Almonds Margin - Baseline'!$A25:$F25),0)</f>
        <v>25321.874277922831</v>
      </c>
      <c r="U19" s="28" t="e">
        <f>+VLOOKUP($A19,#REF!,COLUMNS(#REF!),0)</f>
        <v>#REF!</v>
      </c>
      <c r="V19" s="62">
        <f>+VLOOKUP($A19,'Grapes Margin - Baseline'!$A$7:$BC$41,COLUMNS('Grapes Margin - Baseline'!$A24:$C24),0)</f>
        <v>4712.507619960822</v>
      </c>
      <c r="W19" s="104">
        <f>'Grapes Margin - Baseline'!F22</f>
        <v>15.4</v>
      </c>
      <c r="X19" s="62">
        <f>VLOOKUP($A19,'Grapes Margin - Baseline'!$A$7:$BC$41,COLUMNS('Grapes Margin - Baseline'!$A22:$I22),0)</f>
        <v>72572.617347396663</v>
      </c>
      <c r="Y19" s="62">
        <f>VLOOKUP($A19,'Grapes Margin - Baseline'!$A$7:$CA$41,COLUMNS('Grapes Margin - Baseline'!$A22:$BD22),0)</f>
        <v>27389.681605752608</v>
      </c>
      <c r="Z19" s="62">
        <f>+VLOOKUP($A19,'Grapes Margin - Baseline'!$A$7:$CA$41,COLUMNS('Grapes Margin - Baseline'!$A22:$BF22),0)</f>
        <v>45182.935741644054</v>
      </c>
      <c r="AA19" s="64">
        <f>+VLOOKUP($A19,'Grapes Margin - Baseline'!$A$7:$CA$41,COLUMNS('Grapes Margin - Baseline'!$A22:$BH22),0)</f>
        <v>5.5579270360005033</v>
      </c>
      <c r="AB19" s="62">
        <f>+VLOOKUP($A19,'Grapes Margin - Alternative'!$A$7:$BY$41,COLUMNS('Grapes Margin - Alternative'!$A22:$C22),0)</f>
        <v>4712.507619960822</v>
      </c>
      <c r="AC19" s="62">
        <f>'Grapes Margin - Alternative'!F22</f>
        <v>15.4</v>
      </c>
      <c r="AD19" s="62">
        <f>VLOOKUP($A19,'Grapes Margin - Alternative'!$A$7:$BB$41,COLUMNS('Grapes Margin - Alternative'!$A22:$J22),0)</f>
        <v>72572.617347396663</v>
      </c>
      <c r="AE19" s="62">
        <f>VLOOKUP($A19,'Grapes Margin - Alternative'!$A$7:$BY$41,COLUMNS('Grapes Margin - Alternative'!$A22:$BF22),0)</f>
        <v>27390.268666460215</v>
      </c>
      <c r="AF19" s="62">
        <f>VLOOKUP($A19,'Grapes Margin - Alternative'!$A$7:$BY$41,COLUMNS('Grapes Margin - Alternative'!$A22:$BI22),0)</f>
        <v>45182.348680936448</v>
      </c>
      <c r="AG19" s="64">
        <f>+VLOOKUP($A19,'Grapes Margin - Alternative'!$A$7:$BY$41,COLUMNS('Grapes Margin - Alternative'!$A22:$BL22),0)</f>
        <v>5.5580549573985536</v>
      </c>
      <c r="AH19" s="62">
        <f>+VLOOKUP($A19,'Citrus Margin ORAG - Baseline'!$A$7:$BC$41,COLUMNS('Citrus Margin ORAG - Baseline'!$A22:$C22),0)</f>
        <v>785.41793666013712</v>
      </c>
      <c r="AI19" s="104">
        <f>+VLOOKUP($A19,'Citrus Margin ORAG - Baseline'!$A$7:$BC$41,COLUMNS('Citrus Margin ORAG - Baseline'!$A22:$F22),0)</f>
        <v>40</v>
      </c>
      <c r="AJ19" s="62">
        <f>VLOOKUP($A19,'Citrus Margin ORAG - Baseline'!$A$7:$BC$41,COLUMNS('Citrus Margin ORAG - Baseline'!$A22:$I22),0)</f>
        <v>31416.717466405484</v>
      </c>
      <c r="AK19" s="62">
        <f>VLOOKUP($A19,'Citrus Margin ORAG - Baseline'!$A$7:$BC$41,COLUMNS('Citrus Margin ORAG - Baseline'!$A22:$AY22),0)</f>
        <v>20978.640790297206</v>
      </c>
      <c r="AL19" s="62">
        <f>+VLOOKUP($A19,'Citrus Margin ORAG - Baseline'!$A$7:$BC$41,COLUMNS('Citrus Margin ORAG - Baseline'!$A22:$BA22),0)</f>
        <v>10438.076676108278</v>
      </c>
      <c r="AM19" s="64">
        <f>+VLOOKUP($A19,'Citrus Margin ORAG - Baseline'!$A$7:$BC$41,COLUMNS('Citrus Margin ORAG - Baseline'!$A22:$BC22),0)</f>
        <v>25.710708942005375</v>
      </c>
      <c r="AN19" s="62">
        <f>+VLOOKUP($A19,'Citrus Margin ORAG- Alternative'!$A$7:$BW$41,COLUMNS('Citrus Margin ORAG- Alternative'!$A22:$E22),0)</f>
        <v>785.41793666013712</v>
      </c>
      <c r="AO19" s="62">
        <f>'Citrus Margin ORAG- Alternative'!H22</f>
        <v>40</v>
      </c>
      <c r="AP19" s="62">
        <f>VLOOKUP($A19,'Citrus Margin ORAG- Alternative'!$A$7:$BB$41,COLUMNS('Citrus Margin ORAG- Alternative'!$A22:$J22),0)</f>
        <v>31416.717466405484</v>
      </c>
      <c r="AQ19" s="62">
        <f>VLOOKUP($A19,'Citrus Margin ORAG- Alternative'!$A$7:$CA$41,COLUMNS('Citrus Margin ORAG- Alternative'!$A22:BA22),0)</f>
        <v>20978.640790297206</v>
      </c>
      <c r="AR19" s="62">
        <f>VLOOKUP($A19,'Citrus Margin ORAG- Alternative'!$A$7:$BW$41,COLUMNS('Citrus Margin ORAG- Alternative'!$A22:$BD22),0)</f>
        <v>10438.076676108278</v>
      </c>
      <c r="AS19" s="64">
        <f>+VLOOKUP($A19,'Citrus Margin ORAG- Alternative'!$A$7:$BW$41,COLUMNS('Citrus Margin ORAG- Alternative'!$A22:$BG22),0)</f>
        <v>25.710708942005375</v>
      </c>
      <c r="AU19" s="62">
        <f>+VLOOKUP($A19,'Citrus Margin MAND - Baseline'!$A$7:$CA$41,COLUMNS('Citrus Margin MAND - Baseline'!$A22:$C22),0)</f>
        <v>1099.5851113241924</v>
      </c>
      <c r="AV19" s="104">
        <f>+VLOOKUP($A19,'Citrus Margin MAND - Baseline'!$A$7:$CA$41,COLUMNS('Citrus Margin MAND - Baseline'!$A22:$F22),0)</f>
        <v>45</v>
      </c>
      <c r="AW19" s="62">
        <f>VLOOKUP($A19,'Citrus Margin MAND - Baseline'!$A$7:$CA$41,COLUMNS('Citrus Margin MAND - Baseline'!$A22:$I22),0)</f>
        <v>49481.330009588659</v>
      </c>
      <c r="AX19" s="62">
        <f>VLOOKUP($A19,'Citrus Margin MAND - Baseline'!$A$7:$BC$41,COLUMNS('Citrus Margin MAND - Baseline'!$A22:$AY22),0)</f>
        <v>32773.378429549222</v>
      </c>
      <c r="AY19" s="62">
        <f>+VLOOKUP($A19,'Citrus Margin MAND - Baseline'!$A$7:$BC$41,COLUMNS('Citrus Margin MAND - Baseline'!$A22:$BA22),0)</f>
        <v>16707.951580039437</v>
      </c>
      <c r="AZ19" s="64">
        <f>+VLOOKUP($A19,'Citrus Margin MAND - Baseline'!$A$7:$BC$41,COLUMNS('Citrus Margin MAND - Baseline'!$A22:$BC22),0)</f>
        <v>29.036879542103492</v>
      </c>
      <c r="BA19" s="62">
        <f>+VLOOKUP($A19,'Citrus Margin MAND- Alternative'!$A$7:$BX$41,COLUMNS('Citrus Margin MAND- Alternative'!$A22:$C22),0)</f>
        <v>1099.5851113241924</v>
      </c>
      <c r="BB19" s="62">
        <f>'Citrus Margin MAND- Alternative'!F22</f>
        <v>45</v>
      </c>
      <c r="BC19" s="62">
        <f>VLOOKUP($A19,'Citrus Margin MAND- Alternative'!$A$7:$BC$41,COLUMNS('Citrus Margin MAND- Alternative'!$A22:$I22),0)</f>
        <v>49481.330009588659</v>
      </c>
      <c r="BD19" s="62">
        <f>VLOOKUP($A19,'Citrus Margin MAND- Alternative'!$A$7:$BC$41,COLUMNS('Citrus Margin MAND- Alternative'!$A22:$AZ22),0)</f>
        <v>32773.378429549222</v>
      </c>
      <c r="BE19" s="62">
        <f>VLOOKUP($A19,'Citrus Margin MAND- Alternative'!$A$7:$BX$41,COLUMNS('Citrus Margin MAND- Alternative'!$A22:$BC22),0)</f>
        <v>16707.951580039437</v>
      </c>
      <c r="BF19" s="64">
        <f>+VLOOKUP($A19,'Citrus Margin MAND- Alternative'!$A$7:$BX$41,COLUMNS('Citrus Margin MAND- Alternative'!$A22:$BF22),0)</f>
        <v>29.036879542103492</v>
      </c>
    </row>
    <row r="20" spans="1:58" x14ac:dyDescent="0.2">
      <c r="A20" s="8">
        <f t="shared" si="0"/>
        <v>2037</v>
      </c>
      <c r="B20" s="34">
        <f>+VLOOKUP($A20,'Almonds Margin - Baseline'!$A$5:$BL$39,COLUMNS('Almonds Margin - Baseline'!$A26:$B26),0)</f>
        <v>10537.167038232403</v>
      </c>
      <c r="C20" s="34">
        <f t="shared" si="1"/>
        <v>10.537167038232402</v>
      </c>
      <c r="D20" s="28">
        <f>+VLOOKUP($A20,'Almonds Margin - Baseline'!$A$5:$BL$39,COLUMNS('Almonds Margin - Baseline'!$A26:$D26),0)</f>
        <v>2.48</v>
      </c>
      <c r="E20" s="28">
        <f>+VLOOKUP($A20,'Almonds Margin - Baseline'!$A$5:$BL$39,COLUMNS('Almonds Margin - Baseline'!$A26:$F26),0)</f>
        <v>26132.17425481636</v>
      </c>
      <c r="F20" s="28">
        <f>+VLOOKUP($A20,'Almonds Margin - Baseline'!$A$5:$BL$39,COLUMNS('Almonds Margin - Baseline'!$A26:$BH26),0)</f>
        <v>21590.094791055075</v>
      </c>
      <c r="G20" s="28">
        <f>+VLOOKUP($A20,'Almonds Margin - Baseline'!$A$5:$BL$39,COLUMNS('Almonds Margin - Baseline'!$A26:$BJ26),0)</f>
        <v>4542.0794637612853</v>
      </c>
      <c r="H20" s="166">
        <f>+VLOOKUP($A20,'Almonds Margin - Baseline'!$A$5:$BL$39,COLUMNS('Almonds Margin - Baseline'!$A26:$BL26),0)</f>
        <v>1.7484558551404581</v>
      </c>
      <c r="I20" s="34">
        <f>+VLOOKUP($A20,'Almonds Margin - Alternative'!$A$7:$BT$41,COLUMNS('Almonds Margin - Alternative'!$A28:$D28),0)</f>
        <v>10537.167038232403</v>
      </c>
      <c r="J20" s="34">
        <f t="shared" si="2"/>
        <v>10.537167038232402</v>
      </c>
      <c r="K20" s="28">
        <f>'Almonds Margin - Alternative'!H23</f>
        <v>2.48</v>
      </c>
      <c r="L20" s="28">
        <f>+VLOOKUP($A20,'Almonds Margin - Alternative'!$A$7:$BT$41,COLUMNS('Almonds Margin - Alternative'!$A28:$K28),0)</f>
        <v>26132.17425481636</v>
      </c>
      <c r="M20" s="28">
        <f>+VLOOKUP($A20,'Almonds Margin - Alternative'!$A$7:$BT$41,COLUMNS('Almonds Margin - Alternative'!$A28:$BO28),0)</f>
        <v>21590.094791055075</v>
      </c>
      <c r="N20" s="28">
        <f>+VLOOKUP($A20,'Almonds Margin - Alternative'!$A$7:$BT$41,COLUMNS('Almonds Margin - Alternative'!$A28:$BR28),0)</f>
        <v>4542.0794637612853</v>
      </c>
      <c r="O20" s="158">
        <f>+VLOOKUP($A20,'Almonds Margin - Alternative'!$A$7:$CA$41,COLUMNS('Almonds Margin - Alternative'!$A28:$BU28),0)</f>
        <v>1.7484558551404581</v>
      </c>
      <c r="P20" s="28">
        <f>+VLOOKUP($A20,'Almonds Margin - Alter.Ex.Rate'!$A$7:$BL$41,COLUMNS('Almonds Margin - Alter.Ex.Rate'!$A28:$BJ28),0)</f>
        <v>7437.5244364879836</v>
      </c>
      <c r="Q20" s="34">
        <f>+VLOOKUP($A20,'Almonds Margin - Alter.Ex.Rate'!$A$7:$BL$41,COLUMNS('Almonds Margin - Alter.Ex.Rate'!$A28:$BL28),0)</f>
        <v>1.6733139982203848</v>
      </c>
      <c r="R20" s="34">
        <f>+VLOOKUP($A20,'Almonds Margin - Baseline'!$A$5:$BL$39,COLUMNS( 'Almonds Margin - Baseline'!$A26:$B26),0)</f>
        <v>10537.167038232403</v>
      </c>
      <c r="S20" s="28">
        <f>+VLOOKUP($A20,'Almonds Margin - Baseline'!$A$5:$BL$39,COLUMNS('Almonds Margin - Baseline'!$A26:$D26),0)</f>
        <v>2.48</v>
      </c>
      <c r="T20" s="28">
        <f>+VLOOKUP($A20,'Almonds Margin - Baseline'!$A$5:$BL$39,COLUMNS('Almonds Margin - Baseline'!$A26:$F26),0)</f>
        <v>26132.17425481636</v>
      </c>
      <c r="U20" s="28" t="e">
        <f>+VLOOKUP($A20,#REF!,COLUMNS(#REF!),0)</f>
        <v>#REF!</v>
      </c>
      <c r="V20" s="62">
        <f>+VLOOKUP($A20,'Grapes Margin - Baseline'!$A$7:$BC$41,COLUMNS('Grapes Margin - Baseline'!$A25:$C25),0)</f>
        <v>4863.3078637995686</v>
      </c>
      <c r="W20" s="104">
        <f>'Grapes Margin - Baseline'!F23</f>
        <v>15.4</v>
      </c>
      <c r="X20" s="62">
        <f>VLOOKUP($A20,'Grapes Margin - Baseline'!$A$7:$BC$41,COLUMNS('Grapes Margin - Baseline'!$A23:$I23),0)</f>
        <v>74894.94110251336</v>
      </c>
      <c r="Y20" s="62">
        <f>VLOOKUP($A20,'Grapes Margin - Baseline'!$A$7:$CA$41,COLUMNS('Grapes Margin - Baseline'!$A23:$BD23),0)</f>
        <v>28146.775612024496</v>
      </c>
      <c r="Z20" s="62">
        <f>+VLOOKUP($A20,'Grapes Margin - Baseline'!$A$7:$CA$41,COLUMNS('Grapes Margin - Baseline'!$A23:$BF23),0)</f>
        <v>46748.165490488864</v>
      </c>
      <c r="AA20" s="64">
        <f>+VLOOKUP($A20,'Grapes Margin - Baseline'!$A$7:$CA$41,COLUMNS('Grapes Margin - Baseline'!$A23:$BH23),0)</f>
        <v>5.5333507165946383</v>
      </c>
      <c r="AB20" s="62">
        <f>+VLOOKUP($A20,'Grapes Margin - Alternative'!$A$7:$BY$41,COLUMNS('Grapes Margin - Alternative'!$A23:$C23),0)</f>
        <v>4863.3078637995686</v>
      </c>
      <c r="AC20" s="62">
        <f>'Grapes Margin - Alternative'!F23</f>
        <v>15.4</v>
      </c>
      <c r="AD20" s="62">
        <f>VLOOKUP($A20,'Grapes Margin - Alternative'!$A$7:$BB$41,COLUMNS('Grapes Margin - Alternative'!$A23:$J23),0)</f>
        <v>74894.94110251336</v>
      </c>
      <c r="AE20" s="62">
        <f>VLOOKUP($A20,'Grapes Margin - Alternative'!$A$7:$BY$41,COLUMNS('Grapes Margin - Alternative'!$A23:$BF23),0)</f>
        <v>28147.353083185873</v>
      </c>
      <c r="AF20" s="62">
        <f>VLOOKUP($A20,'Grapes Margin - Alternative'!$A$7:$BY$41,COLUMNS('Grapes Margin - Alternative'!$A23:$BI23),0)</f>
        <v>46747.588019327486</v>
      </c>
      <c r="AG20" s="64">
        <f>+VLOOKUP($A20,'Grapes Margin - Alternative'!$A$7:$BY$41,COLUMNS('Grapes Margin - Alternative'!$A23:$BL23),0)</f>
        <v>5.5334726375929089</v>
      </c>
      <c r="AH20" s="62">
        <f>+VLOOKUP($A20,'Citrus Margin ORAG - Baseline'!$A$7:$BC$41,COLUMNS('Citrus Margin ORAG - Baseline'!$A23:$C23),0)</f>
        <v>810.55131063326144</v>
      </c>
      <c r="AI20" s="104">
        <f>+VLOOKUP($A20,'Citrus Margin ORAG - Baseline'!$A$7:$BC$41,COLUMNS('Citrus Margin ORAG - Baseline'!$A23:$F23),0)</f>
        <v>40</v>
      </c>
      <c r="AJ20" s="62">
        <f>VLOOKUP($A20,'Citrus Margin ORAG - Baseline'!$A$7:$BC$41,COLUMNS('Citrus Margin ORAG - Baseline'!$A23:$I23),0)</f>
        <v>32422.052425330457</v>
      </c>
      <c r="AK20" s="62">
        <f>VLOOKUP($A20,'Citrus Margin ORAG - Baseline'!$A$7:$BC$41,COLUMNS('Citrus Margin ORAG - Baseline'!$A23:$AY23),0)</f>
        <v>21507.093850343077</v>
      </c>
      <c r="AL20" s="62">
        <f>+VLOOKUP($A20,'Citrus Margin ORAG - Baseline'!$A$7:$BC$41,COLUMNS('Citrus Margin ORAG - Baseline'!$A23:$BA23),0)</f>
        <v>10914.95857498738</v>
      </c>
      <c r="AM20" s="64">
        <f>+VLOOKUP($A20,'Citrus Margin ORAG - Baseline'!$A$7:$BC$41,COLUMNS('Citrus Margin ORAG - Baseline'!$A23:$BC23),0)</f>
        <v>25.533791447313376</v>
      </c>
      <c r="AN20" s="62">
        <f>+VLOOKUP($A20,'Citrus Margin ORAG- Alternative'!$A$7:$BW$41,COLUMNS('Citrus Margin ORAG- Alternative'!$A23:$E23),0)</f>
        <v>810.55131063326144</v>
      </c>
      <c r="AO20" s="62">
        <f>'Citrus Margin ORAG- Alternative'!H23</f>
        <v>40</v>
      </c>
      <c r="AP20" s="62">
        <f>VLOOKUP($A20,'Citrus Margin ORAG- Alternative'!$A$7:$BB$41,COLUMNS('Citrus Margin ORAG- Alternative'!$A23:$J23),0)</f>
        <v>32422.052425330457</v>
      </c>
      <c r="AQ20" s="62">
        <f>VLOOKUP($A20,'Citrus Margin ORAG- Alternative'!$A$7:$CA$41,COLUMNS('Citrus Margin ORAG- Alternative'!$A23:BA23),0)</f>
        <v>21507.093850343077</v>
      </c>
      <c r="AR20" s="62">
        <f>VLOOKUP($A20,'Citrus Margin ORAG- Alternative'!$A$7:$BW$41,COLUMNS('Citrus Margin ORAG- Alternative'!$A23:$BD23),0)</f>
        <v>10914.95857498738</v>
      </c>
      <c r="AS20" s="64">
        <f>+VLOOKUP($A20,'Citrus Margin ORAG- Alternative'!$A$7:$BW$41,COLUMNS('Citrus Margin ORAG- Alternative'!$A23:$BG23),0)</f>
        <v>25.533791447313376</v>
      </c>
      <c r="AU20" s="62">
        <f>+VLOOKUP($A20,'Citrus Margin MAND - Baseline'!$A$7:$CA$41,COLUMNS('Citrus Margin MAND - Baseline'!$A23:$C23),0)</f>
        <v>1134.7718348865665</v>
      </c>
      <c r="AV20" s="104">
        <f>+VLOOKUP($A20,'Citrus Margin MAND - Baseline'!$A$7:$CA$41,COLUMNS('Citrus Margin MAND - Baseline'!$A23:$F23),0)</f>
        <v>45</v>
      </c>
      <c r="AW20" s="62">
        <f>VLOOKUP($A20,'Citrus Margin MAND - Baseline'!$A$7:$CA$41,COLUMNS('Citrus Margin MAND - Baseline'!$A23:$I23),0)</f>
        <v>51064.732569895488</v>
      </c>
      <c r="AX20" s="62">
        <f>VLOOKUP($A20,'Citrus Margin MAND - Baseline'!$A$7:$BC$41,COLUMNS('Citrus Margin MAND - Baseline'!$A23:$AY23),0)</f>
        <v>33680.632537345671</v>
      </c>
      <c r="AY20" s="62">
        <f>+VLOOKUP($A20,'Citrus Margin MAND - Baseline'!$A$7:$BC$41,COLUMNS('Citrus Margin MAND - Baseline'!$A23:$BA23),0)</f>
        <v>17384.100032549817</v>
      </c>
      <c r="AZ20" s="64">
        <f>+VLOOKUP($A20,'Citrus Margin MAND - Baseline'!$A$7:$BC$41,COLUMNS('Citrus Margin MAND - Baseline'!$A23:$BC23),0)</f>
        <v>28.913463317601394</v>
      </c>
      <c r="BA20" s="62">
        <f>+VLOOKUP($A20,'Citrus Margin MAND- Alternative'!$A$7:$BX$41,COLUMNS('Citrus Margin MAND- Alternative'!$A23:$C23),0)</f>
        <v>1134.7718348865665</v>
      </c>
      <c r="BB20" s="62">
        <f>'Citrus Margin MAND- Alternative'!F23</f>
        <v>45</v>
      </c>
      <c r="BC20" s="62">
        <f>VLOOKUP($A20,'Citrus Margin MAND- Alternative'!$A$7:$BC$41,COLUMNS('Citrus Margin MAND- Alternative'!$A23:$I23),0)</f>
        <v>51064.732569895488</v>
      </c>
      <c r="BD20" s="62">
        <f>VLOOKUP($A20,'Citrus Margin MAND- Alternative'!$A$7:$BC$41,COLUMNS('Citrus Margin MAND- Alternative'!$A23:$AZ23),0)</f>
        <v>33680.632537345671</v>
      </c>
      <c r="BE20" s="62">
        <f>VLOOKUP($A20,'Citrus Margin MAND- Alternative'!$A$7:$BX$41,COLUMNS('Citrus Margin MAND- Alternative'!$A23:$BC23),0)</f>
        <v>17384.100032549817</v>
      </c>
      <c r="BF20" s="64">
        <f>+VLOOKUP($A20,'Citrus Margin MAND- Alternative'!$A$7:$BX$41,COLUMNS('Citrus Margin MAND- Alternative'!$A23:$BF23),0)</f>
        <v>28.913463317601394</v>
      </c>
    </row>
    <row r="21" spans="1:58" x14ac:dyDescent="0.2">
      <c r="A21" s="8">
        <f t="shared" si="0"/>
        <v>2038</v>
      </c>
      <c r="B21" s="34">
        <f>+VLOOKUP($A21,'Almonds Margin - Baseline'!$A$5:$BL$39,COLUMNS('Almonds Margin - Baseline'!$A27:$B27),0)</f>
        <v>10874.356383455839</v>
      </c>
      <c r="C21" s="34">
        <f t="shared" si="1"/>
        <v>10.874356383455838</v>
      </c>
      <c r="D21" s="28">
        <f>+VLOOKUP($A21,'Almonds Margin - Baseline'!$A$5:$BL$39,COLUMNS('Almonds Margin - Baseline'!$A27:$D27),0)</f>
        <v>2.48</v>
      </c>
      <c r="E21" s="28">
        <f>+VLOOKUP($A21,'Almonds Margin - Baseline'!$A$5:$BL$39,COLUMNS('Almonds Margin - Baseline'!$A27:$F27),0)</f>
        <v>26968.403830970481</v>
      </c>
      <c r="F21" s="28">
        <f>+VLOOKUP($A21,'Almonds Margin - Baseline'!$A$5:$BL$39,COLUMNS('Almonds Margin - Baseline'!$A27:$BH27),0)</f>
        <v>22105.351495092855</v>
      </c>
      <c r="G21" s="28">
        <f>+VLOOKUP($A21,'Almonds Margin - Baseline'!$A$5:$BL$39,COLUMNS('Almonds Margin - Baseline'!$A27:$BJ27),0)</f>
        <v>4863.0523358776263</v>
      </c>
      <c r="H21" s="166">
        <f>+VLOOKUP($A21,'Almonds Margin - Baseline'!$A$5:$BL$39,COLUMNS('Almonds Margin - Baseline'!$A27:$BL27),0)</f>
        <v>1.7324033567643593</v>
      </c>
      <c r="I21" s="34">
        <f>+VLOOKUP($A21,'Almonds Margin - Alternative'!$A$7:$BT$41,COLUMNS('Almonds Margin - Alternative'!$A29:$D29),0)</f>
        <v>10874.356383455839</v>
      </c>
      <c r="J21" s="34">
        <f t="shared" si="2"/>
        <v>10.874356383455838</v>
      </c>
      <c r="K21" s="28">
        <f>'Almonds Margin - Alternative'!H24</f>
        <v>2.48</v>
      </c>
      <c r="L21" s="28">
        <f>+VLOOKUP($A21,'Almonds Margin - Alternative'!$A$7:$BT$41,COLUMNS('Almonds Margin - Alternative'!$A29:$K29),0)</f>
        <v>26968.403830970481</v>
      </c>
      <c r="M21" s="28">
        <f>+VLOOKUP($A21,'Almonds Margin - Alternative'!$A$7:$BT$41,COLUMNS('Almonds Margin - Alternative'!$A29:$BO29),0)</f>
        <v>22105.351495092855</v>
      </c>
      <c r="N21" s="28">
        <f>+VLOOKUP($A21,'Almonds Margin - Alternative'!$A$7:$BT$41,COLUMNS('Almonds Margin - Alternative'!$A29:$BR29),0)</f>
        <v>4863.0523358776263</v>
      </c>
      <c r="O21" s="158">
        <f>+VLOOKUP($A21,'Almonds Margin - Alternative'!$A$7:$CA$41,COLUMNS('Almonds Margin - Alternative'!$A29:$BU29),0)</f>
        <v>1.7324033567643593</v>
      </c>
      <c r="P21" s="28">
        <f>+VLOOKUP($A21,'Almonds Margin - Alter.Ex.Rate'!$A$7:$BL$41,COLUMNS('Almonds Margin - Alter.Ex.Rate'!$A29:$BJ29),0)</f>
        <v>7923.5857034556066</v>
      </c>
      <c r="Q21" s="34">
        <f>+VLOOKUP($A21,'Almonds Margin - Alter.Ex.Rate'!$A$7:$BL$41,COLUMNS('Almonds Margin - Alter.Ex.Rate'!$A29:$BL29),0)</f>
        <v>1.6475186375455206</v>
      </c>
      <c r="R21" s="34">
        <f>+VLOOKUP($A21,'Almonds Margin - Baseline'!$A$5:$BL$39,COLUMNS( 'Almonds Margin - Baseline'!$A27:$B27),0)</f>
        <v>10874.356383455839</v>
      </c>
      <c r="S21" s="28">
        <f>+VLOOKUP($A21,'Almonds Margin - Baseline'!$A$5:$BL$39,COLUMNS('Almonds Margin - Baseline'!$A27:$D27),0)</f>
        <v>2.48</v>
      </c>
      <c r="T21" s="28">
        <f>+VLOOKUP($A21,'Almonds Margin - Baseline'!$A$5:$BL$39,COLUMNS('Almonds Margin - Baseline'!$A27:$F27),0)</f>
        <v>26968.403830970481</v>
      </c>
      <c r="U21" s="28" t="e">
        <f>+VLOOKUP($A21,#REF!,COLUMNS(#REF!),0)</f>
        <v>#REF!</v>
      </c>
      <c r="V21" s="62">
        <f>+VLOOKUP($A21,'Grapes Margin - Baseline'!$A$7:$BC$41,COLUMNS('Grapes Margin - Baseline'!$A26:$C26),0)</f>
        <v>5018.9337154411542</v>
      </c>
      <c r="W21" s="104">
        <f>'Grapes Margin - Baseline'!F24</f>
        <v>15.4</v>
      </c>
      <c r="X21" s="62">
        <f>VLOOKUP($A21,'Grapes Margin - Baseline'!$A$7:$BC$41,COLUMNS('Grapes Margin - Baseline'!$A24:$I24),0)</f>
        <v>77291.579217793769</v>
      </c>
      <c r="Y21" s="62">
        <f>VLOOKUP($A21,'Grapes Margin - Baseline'!$A$7:$CA$41,COLUMNS('Grapes Margin - Baseline'!$A24:$BD24),0)</f>
        <v>28941.667882807735</v>
      </c>
      <c r="Z21" s="62">
        <f>+VLOOKUP($A21,'Grapes Margin - Baseline'!$A$7:$CA$41,COLUMNS('Grapes Margin - Baseline'!$A24:$BF24),0)</f>
        <v>48349.911334986034</v>
      </c>
      <c r="AA21" s="64">
        <f>+VLOOKUP($A21,'Grapes Margin - Baseline'!$A$7:$CA$41,COLUMNS('Grapes Margin - Baseline'!$A24:$BH24),0)</f>
        <v>5.5123161799210019</v>
      </c>
      <c r="AB21" s="62">
        <f>+VLOOKUP($A21,'Grapes Margin - Alternative'!$A$7:$BY$41,COLUMNS('Grapes Margin - Alternative'!$A24:$C24),0)</f>
        <v>5018.9337154411542</v>
      </c>
      <c r="AC21" s="62">
        <f>'Grapes Margin - Alternative'!F24</f>
        <v>15.4</v>
      </c>
      <c r="AD21" s="62">
        <f>VLOOKUP($A21,'Grapes Margin - Alternative'!$A$7:$BB$41,COLUMNS('Grapes Margin - Alternative'!$A24:$J24),0)</f>
        <v>77291.579217793769</v>
      </c>
      <c r="AE21" s="62">
        <f>VLOOKUP($A21,'Grapes Margin - Alternative'!$A$7:$BY$41,COLUMNS('Grapes Margin - Alternative'!$A24:$BF24),0)</f>
        <v>28942.238822331696</v>
      </c>
      <c r="AF21" s="62">
        <f>VLOOKUP($A21,'Grapes Margin - Alternative'!$A$7:$BY$41,COLUMNS('Grapes Margin - Alternative'!$A24:$BI24),0)</f>
        <v>48349.340395462074</v>
      </c>
      <c r="AG21" s="64">
        <f>+VLOOKUP($A21,'Grapes Margin - Alternative'!$A$7:$BY$41,COLUMNS('Grapes Margin - Alternative'!$A24:$BL24),0)</f>
        <v>5.5124329757535735</v>
      </c>
      <c r="AH21" s="62">
        <f>+VLOOKUP($A21,'Citrus Margin ORAG - Baseline'!$A$7:$BC$41,COLUMNS('Citrus Margin ORAG - Baseline'!$A24:$C24),0)</f>
        <v>836.48895257352581</v>
      </c>
      <c r="AI21" s="104">
        <f>+VLOOKUP($A21,'Citrus Margin ORAG - Baseline'!$A$7:$BC$41,COLUMNS('Citrus Margin ORAG - Baseline'!$A24:$F24),0)</f>
        <v>40</v>
      </c>
      <c r="AJ21" s="62">
        <f>VLOOKUP($A21,'Citrus Margin ORAG - Baseline'!$A$7:$BC$41,COLUMNS('Citrus Margin ORAG - Baseline'!$A24:$I24),0)</f>
        <v>33459.558102941031</v>
      </c>
      <c r="AK21" s="62">
        <f>VLOOKUP($A21,'Citrus Margin ORAG - Baseline'!$A$7:$BC$41,COLUMNS('Citrus Margin ORAG - Baseline'!$A24:$AY24),0)</f>
        <v>22068.593751232882</v>
      </c>
      <c r="AL21" s="62">
        <f>+VLOOKUP($A21,'Citrus Margin ORAG - Baseline'!$A$7:$BC$41,COLUMNS('Citrus Margin ORAG - Baseline'!$A24:$BA24),0)</f>
        <v>11390.964351708149</v>
      </c>
      <c r="AM21" s="64">
        <f>+VLOOKUP($A21,'Citrus Margin ORAG - Baseline'!$A$7:$BC$41,COLUMNS('Citrus Margin ORAG - Baseline'!$A24:$BC24),0)</f>
        <v>25.382688188427835</v>
      </c>
      <c r="AN21" s="62">
        <f>+VLOOKUP($A21,'Citrus Margin ORAG- Alternative'!$A$7:$BW$41,COLUMNS('Citrus Margin ORAG- Alternative'!$A24:$E24),0)</f>
        <v>836.48895257352581</v>
      </c>
      <c r="AO21" s="62">
        <f>'Citrus Margin ORAG- Alternative'!H24</f>
        <v>40</v>
      </c>
      <c r="AP21" s="62">
        <f>VLOOKUP($A21,'Citrus Margin ORAG- Alternative'!$A$7:$BB$41,COLUMNS('Citrus Margin ORAG- Alternative'!$A24:$J24),0)</f>
        <v>33459.558102941031</v>
      </c>
      <c r="AQ21" s="62">
        <f>VLOOKUP($A21,'Citrus Margin ORAG- Alternative'!$A$7:$CA$41,COLUMNS('Citrus Margin ORAG- Alternative'!$A24:BA24),0)</f>
        <v>22068.593751232882</v>
      </c>
      <c r="AR21" s="62">
        <f>VLOOKUP($A21,'Citrus Margin ORAG- Alternative'!$A$7:$BW$41,COLUMNS('Citrus Margin ORAG- Alternative'!$A24:$BD24),0)</f>
        <v>11390.964351708149</v>
      </c>
      <c r="AS21" s="64">
        <f>+VLOOKUP($A21,'Citrus Margin ORAG- Alternative'!$A$7:$BW$41,COLUMNS('Citrus Margin ORAG- Alternative'!$A24:$BG24),0)</f>
        <v>25.382688188427835</v>
      </c>
      <c r="AU21" s="62">
        <f>+VLOOKUP($A21,'Citrus Margin MAND - Baseline'!$A$7:$CA$41,COLUMNS('Citrus Margin MAND - Baseline'!$A24:$C24),0)</f>
        <v>1171.0845336029365</v>
      </c>
      <c r="AV21" s="104">
        <f>+VLOOKUP($A21,'Citrus Margin MAND - Baseline'!$A$7:$CA$41,COLUMNS('Citrus Margin MAND - Baseline'!$A24:$F24),0)</f>
        <v>45</v>
      </c>
      <c r="AW21" s="62">
        <f>VLOOKUP($A21,'Citrus Margin MAND - Baseline'!$A$7:$CA$41,COLUMNS('Citrus Margin MAND - Baseline'!$A24:$I24),0)</f>
        <v>52698.804012132146</v>
      </c>
      <c r="AX21" s="62">
        <f>VLOOKUP($A21,'Citrus Margin MAND - Baseline'!$A$7:$BC$41,COLUMNS('Citrus Margin MAND - Baseline'!$A24:$AY24),0)</f>
        <v>34632.92024113459</v>
      </c>
      <c r="AY21" s="62">
        <f>+VLOOKUP($A21,'Citrus Margin MAND - Baseline'!$A$7:$BC$41,COLUMNS('Citrus Margin MAND - Baseline'!$A24:$BA24),0)</f>
        <v>18065.883770997556</v>
      </c>
      <c r="AZ21" s="64">
        <f>+VLOOKUP($A21,'Citrus Margin MAND - Baseline'!$A$7:$BC$41,COLUMNS('Citrus Margin MAND - Baseline'!$A24:$BC24),0)</f>
        <v>28.808054896833937</v>
      </c>
      <c r="BA21" s="62">
        <f>+VLOOKUP($A21,'Citrus Margin MAND- Alternative'!$A$7:$BX$41,COLUMNS('Citrus Margin MAND- Alternative'!$A24:$C24),0)</f>
        <v>1171.0845336029365</v>
      </c>
      <c r="BB21" s="62">
        <f>'Citrus Margin MAND- Alternative'!F24</f>
        <v>45</v>
      </c>
      <c r="BC21" s="62">
        <f>VLOOKUP($A21,'Citrus Margin MAND- Alternative'!$A$7:$BC$41,COLUMNS('Citrus Margin MAND- Alternative'!$A24:$I24),0)</f>
        <v>52698.804012132146</v>
      </c>
      <c r="BD21" s="62">
        <f>VLOOKUP($A21,'Citrus Margin MAND- Alternative'!$A$7:$BC$41,COLUMNS('Citrus Margin MAND- Alternative'!$A24:$AZ24),0)</f>
        <v>34632.92024113459</v>
      </c>
      <c r="BE21" s="62">
        <f>VLOOKUP($A21,'Citrus Margin MAND- Alternative'!$A$7:$BX$41,COLUMNS('Citrus Margin MAND- Alternative'!$A24:$BC24),0)</f>
        <v>18065.883770997556</v>
      </c>
      <c r="BF21" s="64">
        <f>+VLOOKUP($A21,'Citrus Margin MAND- Alternative'!$A$7:$BX$41,COLUMNS('Citrus Margin MAND- Alternative'!$A24:$BF24),0)</f>
        <v>28.808054896833937</v>
      </c>
    </row>
    <row r="22" spans="1:58" x14ac:dyDescent="0.2">
      <c r="A22" s="8">
        <f t="shared" si="0"/>
        <v>2039</v>
      </c>
      <c r="B22" s="34">
        <f>+VLOOKUP($A22,'Almonds Margin - Baseline'!$A$5:$BL$39,COLUMNS('Almonds Margin - Baseline'!$A28:$B28),0)</f>
        <v>11222.335787726428</v>
      </c>
      <c r="C22" s="34">
        <f t="shared" si="1"/>
        <v>11.222335787726427</v>
      </c>
      <c r="D22" s="28">
        <f>+VLOOKUP($A22,'Almonds Margin - Baseline'!$A$5:$BL$39,COLUMNS('Almonds Margin - Baseline'!$A28:$D28),0)</f>
        <v>2.48</v>
      </c>
      <c r="E22" s="28">
        <f>+VLOOKUP($A22,'Almonds Margin - Baseline'!$A$5:$BL$39,COLUMNS('Almonds Margin - Baseline'!$A28:$F28),0)</f>
        <v>27831.39275356154</v>
      </c>
      <c r="F22" s="28">
        <f>+VLOOKUP($A22,'Almonds Margin - Baseline'!$A$5:$BL$39,COLUMNS('Almonds Margin - Baseline'!$A28:$BH28),0)</f>
        <v>22652.377561347006</v>
      </c>
      <c r="G22" s="28">
        <f>+VLOOKUP($A22,'Almonds Margin - Baseline'!$A$5:$BL$39,COLUMNS('Almonds Margin - Baseline'!$A28:$BJ28),0)</f>
        <v>5179.0151922145342</v>
      </c>
      <c r="H22" s="166">
        <f>+VLOOKUP($A22,'Almonds Margin - Baseline'!$A$5:$BL$39,COLUMNS('Almonds Margin - Baseline'!$A28:$BL28),0)</f>
        <v>1.7182118762504033</v>
      </c>
      <c r="I22" s="34">
        <f>+VLOOKUP($A22,'Almonds Margin - Alternative'!$A$7:$BT$41,COLUMNS('Almonds Margin - Alternative'!$A30:$D30),0)</f>
        <v>11222.335787726428</v>
      </c>
      <c r="J22" s="34">
        <f t="shared" si="2"/>
        <v>11.222335787726427</v>
      </c>
      <c r="K22" s="28">
        <f>'Almonds Margin - Alternative'!H25</f>
        <v>2.48</v>
      </c>
      <c r="L22" s="28">
        <f>+VLOOKUP($A22,'Almonds Margin - Alternative'!$A$7:$BT$41,COLUMNS('Almonds Margin - Alternative'!$A30:$K30),0)</f>
        <v>27831.39275356154</v>
      </c>
      <c r="M22" s="28">
        <f>+VLOOKUP($A22,'Almonds Margin - Alternative'!$A$7:$BT$41,COLUMNS('Almonds Margin - Alternative'!$A30:$BO30),0)</f>
        <v>22652.377561347006</v>
      </c>
      <c r="N22" s="28">
        <f>+VLOOKUP($A22,'Almonds Margin - Alternative'!$A$7:$BT$41,COLUMNS('Almonds Margin - Alternative'!$A30:$BR30),0)</f>
        <v>5179.0151922145342</v>
      </c>
      <c r="O22" s="158">
        <f>+VLOOKUP($A22,'Almonds Margin - Alternative'!$A$7:$CA$41,COLUMNS('Almonds Margin - Alternative'!$A30:$BU30),0)</f>
        <v>1.7182118762504033</v>
      </c>
      <c r="P22" s="28">
        <f>+VLOOKUP($A22,'Almonds Margin - Alter.Ex.Rate'!$A$7:$BL$41,COLUMNS('Almonds Margin - Alter.Ex.Rate'!$A30:$BJ30),0)</f>
        <v>8427.3006727437496</v>
      </c>
      <c r="Q22" s="34">
        <f>+VLOOKUP($A22,'Almonds Margin - Alter.Ex.Rate'!$A$7:$BL$41,COLUMNS('Almonds Margin - Alter.Ex.Rate'!$A30:$BL30),0)</f>
        <v>1.6223108389487031</v>
      </c>
      <c r="R22" s="34">
        <f>+VLOOKUP($A22,'Almonds Margin - Baseline'!$A$5:$BL$39,COLUMNS( 'Almonds Margin - Baseline'!$A28:$B28),0)</f>
        <v>11222.335787726428</v>
      </c>
      <c r="S22" s="28">
        <f>+VLOOKUP($A22,'Almonds Margin - Baseline'!$A$5:$BL$39,COLUMNS('Almonds Margin - Baseline'!$A28:$D28),0)</f>
        <v>2.48</v>
      </c>
      <c r="T22" s="28">
        <f>+VLOOKUP($A22,'Almonds Margin - Baseline'!$A$5:$BL$39,COLUMNS('Almonds Margin - Baseline'!$A28:$F28),0)</f>
        <v>27831.39275356154</v>
      </c>
      <c r="U22" s="28" t="e">
        <f>+VLOOKUP($A22,#REF!,COLUMNS(#REF!),0)</f>
        <v>#REF!</v>
      </c>
      <c r="V22" s="62">
        <f>+VLOOKUP($A22,'Grapes Margin - Baseline'!$A$7:$BC$41,COLUMNS('Grapes Margin - Baseline'!$A27:$C27),0)</f>
        <v>5179.5395943352714</v>
      </c>
      <c r="W22" s="104">
        <f>'Grapes Margin - Baseline'!F25</f>
        <v>15.4</v>
      </c>
      <c r="X22" s="62">
        <f>VLOOKUP($A22,'Grapes Margin - Baseline'!$A$7:$BC$41,COLUMNS('Grapes Margin - Baseline'!$A25:$I25),0)</f>
        <v>79764.909752763182</v>
      </c>
      <c r="Y22" s="62">
        <f>VLOOKUP($A22,'Grapes Margin - Baseline'!$A$7:$CA$41,COLUMNS('Grapes Margin - Baseline'!$A25:$BD25),0)</f>
        <v>29770.837838235235</v>
      </c>
      <c r="Z22" s="62">
        <f>+VLOOKUP($A22,'Grapes Margin - Baseline'!$A$7:$CA$41,COLUMNS('Grapes Margin - Baseline'!$A25:$BF25),0)</f>
        <v>49994.071914527944</v>
      </c>
      <c r="AA22" s="64">
        <f>+VLOOKUP($A22,'Grapes Margin - Baseline'!$A$7:$CA$41,COLUMNS('Grapes Margin - Baseline'!$A25:$BH25),0)</f>
        <v>5.4936891741421441</v>
      </c>
      <c r="AB22" s="62">
        <f>+VLOOKUP($A22,'Grapes Margin - Alternative'!$A$7:$BY$41,COLUMNS('Grapes Margin - Alternative'!$A25:$C25),0)</f>
        <v>5179.5395943352714</v>
      </c>
      <c r="AC22" s="62">
        <f>'Grapes Margin - Alternative'!F25</f>
        <v>15.4</v>
      </c>
      <c r="AD22" s="62">
        <f>VLOOKUP($A22,'Grapes Margin - Alternative'!$A$7:$BB$41,COLUMNS('Grapes Margin - Alternative'!$A25:$J25),0)</f>
        <v>79764.909752763182</v>
      </c>
      <c r="AE22" s="62">
        <f>VLOOKUP($A22,'Grapes Margin - Alternative'!$A$7:$BY$41,COLUMNS('Grapes Margin - Alternative'!$A25:$BF25),0)</f>
        <v>29771.404229125576</v>
      </c>
      <c r="AF22" s="62">
        <f>VLOOKUP($A22,'Grapes Margin - Alternative'!$A$7:$BY$41,COLUMNS('Grapes Margin - Alternative'!$A25:$BI25),0)</f>
        <v>49993.505523637607</v>
      </c>
      <c r="AG22" s="64">
        <f>+VLOOKUP($A22,'Grapes Margin - Alternative'!$A$7:$BY$41,COLUMNS('Grapes Margin - Alternative'!$A25:$BL25),0)</f>
        <v>5.4938014389141694</v>
      </c>
      <c r="AH22" s="62">
        <f>+VLOOKUP($A22,'Citrus Margin ORAG - Baseline'!$A$7:$BC$41,COLUMNS('Citrus Margin ORAG - Baseline'!$A25:$C25),0)</f>
        <v>863.25659905587861</v>
      </c>
      <c r="AI22" s="104">
        <f>+VLOOKUP($A22,'Citrus Margin ORAG - Baseline'!$A$7:$BC$41,COLUMNS('Citrus Margin ORAG - Baseline'!$A25:$F25),0)</f>
        <v>40</v>
      </c>
      <c r="AJ22" s="62">
        <f>VLOOKUP($A22,'Citrus Margin ORAG - Baseline'!$A$7:$BC$41,COLUMNS('Citrus Margin ORAG - Baseline'!$A25:$I25),0)</f>
        <v>34530.263962235142</v>
      </c>
      <c r="AK22" s="62">
        <f>VLOOKUP($A22,'Citrus Margin ORAG - Baseline'!$A$7:$BC$41,COLUMNS('Citrus Margin ORAG - Baseline'!$A25:$AY25),0)</f>
        <v>22658.573832508322</v>
      </c>
      <c r="AL22" s="62">
        <f>+VLOOKUP($A22,'Citrus Margin ORAG - Baseline'!$A$7:$BC$41,COLUMNS('Citrus Margin ORAG - Baseline'!$A25:$BA25),0)</f>
        <v>11871.69012972682</v>
      </c>
      <c r="AM22" s="64">
        <f>+VLOOKUP($A22,'Citrus Margin ORAG - Baseline'!$A$7:$BC$41,COLUMNS('Citrus Margin ORAG - Baseline'!$A25:$BC25),0)</f>
        <v>25.249102817239621</v>
      </c>
      <c r="AN22" s="62">
        <f>+VLOOKUP($A22,'Citrus Margin ORAG- Alternative'!$A$7:$BW$41,COLUMNS('Citrus Margin ORAG- Alternative'!$A25:$E25),0)</f>
        <v>863.25659905587861</v>
      </c>
      <c r="AO22" s="62">
        <f>'Citrus Margin ORAG- Alternative'!H25</f>
        <v>40</v>
      </c>
      <c r="AP22" s="62">
        <f>VLOOKUP($A22,'Citrus Margin ORAG- Alternative'!$A$7:$BB$41,COLUMNS('Citrus Margin ORAG- Alternative'!$A25:$J25),0)</f>
        <v>34530.263962235142</v>
      </c>
      <c r="AQ22" s="62">
        <f>VLOOKUP($A22,'Citrus Margin ORAG- Alternative'!$A$7:$CA$41,COLUMNS('Citrus Margin ORAG- Alternative'!$A25:BA25),0)</f>
        <v>22658.573832508322</v>
      </c>
      <c r="AR22" s="62">
        <f>VLOOKUP($A22,'Citrus Margin ORAG- Alternative'!$A$7:$BW$41,COLUMNS('Citrus Margin ORAG- Alternative'!$A25:$BD25),0)</f>
        <v>11871.69012972682</v>
      </c>
      <c r="AS22" s="64">
        <f>+VLOOKUP($A22,'Citrus Margin ORAG- Alternative'!$A$7:$BW$41,COLUMNS('Citrus Margin ORAG- Alternative'!$A25:$BG25),0)</f>
        <v>25.249102817239621</v>
      </c>
      <c r="AU22" s="62">
        <f>+VLOOKUP($A22,'Citrus Margin MAND - Baseline'!$A$7:$CA$41,COLUMNS('Citrus Margin MAND - Baseline'!$A25:$C25),0)</f>
        <v>1208.5592386782305</v>
      </c>
      <c r="AV22" s="104">
        <f>+VLOOKUP($A22,'Citrus Margin MAND - Baseline'!$A$7:$CA$41,COLUMNS('Citrus Margin MAND - Baseline'!$A25:$F25),0)</f>
        <v>45</v>
      </c>
      <c r="AW22" s="62">
        <f>VLOOKUP($A22,'Citrus Margin MAND - Baseline'!$A$7:$CA$41,COLUMNS('Citrus Margin MAND - Baseline'!$A25:$I25),0)</f>
        <v>54385.165740520373</v>
      </c>
      <c r="AX22" s="62">
        <f>VLOOKUP($A22,'Citrus Margin MAND - Baseline'!$A$7:$BC$41,COLUMNS('Citrus Margin MAND - Baseline'!$A25:$AY25),0)</f>
        <v>35626.105467119465</v>
      </c>
      <c r="AY22" s="62">
        <f>+VLOOKUP($A22,'Citrus Margin MAND - Baseline'!$A$7:$BC$41,COLUMNS('Citrus Margin MAND - Baseline'!$A25:$BA25),0)</f>
        <v>18759.060273400908</v>
      </c>
      <c r="AZ22" s="64">
        <f>+VLOOKUP($A22,'Citrus Margin MAND - Baseline'!$A$7:$BC$41,COLUMNS('Citrus Margin MAND - Baseline'!$A25:$BC25),0)</f>
        <v>28.71486681393991</v>
      </c>
      <c r="BA22" s="62">
        <f>+VLOOKUP($A22,'Citrus Margin MAND- Alternative'!$A$7:$BX$41,COLUMNS('Citrus Margin MAND- Alternative'!$A25:$C25),0)</f>
        <v>1208.5592386782305</v>
      </c>
      <c r="BB22" s="62">
        <f>'Citrus Margin MAND- Alternative'!F25</f>
        <v>45</v>
      </c>
      <c r="BC22" s="62">
        <f>VLOOKUP($A22,'Citrus Margin MAND- Alternative'!$A$7:$BC$41,COLUMNS('Citrus Margin MAND- Alternative'!$A25:$I25),0)</f>
        <v>54385.165740520373</v>
      </c>
      <c r="BD22" s="62">
        <f>VLOOKUP($A22,'Citrus Margin MAND- Alternative'!$A$7:$BC$41,COLUMNS('Citrus Margin MAND- Alternative'!$A25:$AZ25),0)</f>
        <v>35626.105467119465</v>
      </c>
      <c r="BE22" s="62">
        <f>VLOOKUP($A22,'Citrus Margin MAND- Alternative'!$A$7:$BX$41,COLUMNS('Citrus Margin MAND- Alternative'!$A25:$BC25),0)</f>
        <v>18759.060273400908</v>
      </c>
      <c r="BF22" s="64">
        <f>+VLOOKUP($A22,'Citrus Margin MAND- Alternative'!$A$7:$BX$41,COLUMNS('Citrus Margin MAND- Alternative'!$A25:$BF25),0)</f>
        <v>28.71486681393991</v>
      </c>
    </row>
    <row r="23" spans="1:58" x14ac:dyDescent="0.2">
      <c r="A23" s="8">
        <f t="shared" si="0"/>
        <v>2040</v>
      </c>
      <c r="B23" s="34">
        <f>+VLOOKUP($A23,'Almonds Margin - Baseline'!$A$5:$BL$39,COLUMNS('Almonds Margin - Baseline'!$A29:$B29),0)</f>
        <v>11581.450532933675</v>
      </c>
      <c r="C23" s="34">
        <f t="shared" si="1"/>
        <v>11.581450532933676</v>
      </c>
      <c r="D23" s="28">
        <f>+VLOOKUP($A23,'Almonds Margin - Baseline'!$A$5:$BL$39,COLUMNS('Almonds Margin - Baseline'!$A29:$D29),0)</f>
        <v>2.48</v>
      </c>
      <c r="E23" s="28">
        <f>+VLOOKUP($A23,'Almonds Margin - Baseline'!$A$5:$BL$39,COLUMNS('Almonds Margin - Baseline'!$A29:$F29),0)</f>
        <v>28721.997321675513</v>
      </c>
      <c r="F23" s="28">
        <f>+VLOOKUP($A23,'Almonds Margin - Baseline'!$A$5:$BL$39,COLUMNS('Almonds Margin - Baseline'!$A29:$BH29),0)</f>
        <v>23238.262179710684</v>
      </c>
      <c r="G23" s="28">
        <f>+VLOOKUP($A23,'Almonds Margin - Baseline'!$A$5:$BL$39,COLUMNS('Almonds Margin - Baseline'!$A29:$BJ29),0)</f>
        <v>5483.7351419648294</v>
      </c>
      <c r="H23" s="166">
        <f>+VLOOKUP($A23,'Almonds Margin - Baseline'!$A$5:$BL$39,COLUMNS('Almonds Margin - Baseline'!$A29:$BL29),0)</f>
        <v>1.7063063852447282</v>
      </c>
      <c r="I23" s="34">
        <f>+VLOOKUP($A23,'Almonds Margin - Alternative'!$A$7:$BT$41,COLUMNS('Almonds Margin - Alternative'!$A31:$D31),0)</f>
        <v>11581.450532933675</v>
      </c>
      <c r="J23" s="34">
        <f t="shared" si="2"/>
        <v>11.581450532933676</v>
      </c>
      <c r="K23" s="28">
        <f>'Almonds Margin - Alternative'!H26</f>
        <v>2.48</v>
      </c>
      <c r="L23" s="28">
        <f>+VLOOKUP($A23,'Almonds Margin - Alternative'!$A$7:$BT$41,COLUMNS('Almonds Margin - Alternative'!$A31:$K31),0)</f>
        <v>28721.997321675513</v>
      </c>
      <c r="M23" s="28">
        <f>+VLOOKUP($A23,'Almonds Margin - Alternative'!$A$7:$BT$41,COLUMNS('Almonds Margin - Alternative'!$A31:$BO31),0)</f>
        <v>23238.262179710684</v>
      </c>
      <c r="N23" s="28">
        <f>+VLOOKUP($A23,'Almonds Margin - Alternative'!$A$7:$BT$41,COLUMNS('Almonds Margin - Alternative'!$A31:$BR31),0)</f>
        <v>5483.7351419648294</v>
      </c>
      <c r="O23" s="158">
        <f>+VLOOKUP($A23,'Almonds Margin - Alternative'!$A$7:$CA$41,COLUMNS('Almonds Margin - Alternative'!$A31:$BU31),0)</f>
        <v>1.7063063852447282</v>
      </c>
      <c r="P23" s="28">
        <f>+VLOOKUP($A23,'Almonds Margin - Alter.Ex.Rate'!$A$7:$BL$41,COLUMNS('Almonds Margin - Alter.Ex.Rate'!$A31:$BJ31),0)</f>
        <v>8949.2678586951115</v>
      </c>
      <c r="Q23" s="34">
        <f>+VLOOKUP($A23,'Almonds Margin - Alter.Ex.Rate'!$A$7:$BL$41,COLUMNS('Almonds Margin - Alter.Ex.Rate'!$A31:$BL31),0)</f>
        <v>1.5976756710964044</v>
      </c>
      <c r="R23" s="34">
        <f>+VLOOKUP($A23,'Almonds Margin - Baseline'!$A$5:$BL$39,COLUMNS( 'Almonds Margin - Baseline'!$A29:$B29),0)</f>
        <v>11581.450532933675</v>
      </c>
      <c r="S23" s="28">
        <f>+VLOOKUP($A23,'Almonds Margin - Baseline'!$A$5:$BL$39,COLUMNS('Almonds Margin - Baseline'!$A29:$D29),0)</f>
        <v>2.48</v>
      </c>
      <c r="T23" s="28">
        <f>+VLOOKUP($A23,'Almonds Margin - Baseline'!$A$5:$BL$39,COLUMNS('Almonds Margin - Baseline'!$A29:$F29),0)</f>
        <v>28721.997321675513</v>
      </c>
      <c r="U23" s="28" t="e">
        <f>+VLOOKUP($A23,#REF!,COLUMNS(#REF!),0)</f>
        <v>#REF!</v>
      </c>
      <c r="V23" s="62">
        <f>+VLOOKUP($A23,'Grapes Margin - Baseline'!$A$7:$BC$41,COLUMNS('Grapes Margin - Baseline'!$A28:$C28),0)</f>
        <v>5345.284861354</v>
      </c>
      <c r="W23" s="104">
        <f>'Grapes Margin - Baseline'!F26</f>
        <v>15.4</v>
      </c>
      <c r="X23" s="62">
        <f>VLOOKUP($A23,'Grapes Margin - Baseline'!$A$7:$BC$41,COLUMNS('Grapes Margin - Baseline'!$A26:$I26),0)</f>
        <v>82317.386864851607</v>
      </c>
      <c r="Y23" s="62">
        <f>VLOOKUP($A23,'Grapes Margin - Baseline'!$A$7:$CA$41,COLUMNS('Grapes Margin - Baseline'!$A26:$BD26),0)</f>
        <v>30638.89573877319</v>
      </c>
      <c r="Z23" s="62">
        <f>+VLOOKUP($A23,'Grapes Margin - Baseline'!$A$7:$CA$41,COLUMNS('Grapes Margin - Baseline'!$A26:$BF26),0)</f>
        <v>51678.491126078414</v>
      </c>
      <c r="AA23" s="64">
        <f>+VLOOKUP($A23,'Grapes Margin - Baseline'!$A$7:$CA$41,COLUMNS('Grapes Margin - Baseline'!$A26:$BH26),0)</f>
        <v>5.4780149334690522</v>
      </c>
      <c r="AB23" s="62">
        <f>+VLOOKUP($A23,'Grapes Margin - Alternative'!$A$7:$BY$41,COLUMNS('Grapes Margin - Alternative'!$A26:$C26),0)</f>
        <v>5345.284861354</v>
      </c>
      <c r="AC23" s="62">
        <f>'Grapes Margin - Alternative'!F26</f>
        <v>15.4</v>
      </c>
      <c r="AD23" s="62">
        <f>VLOOKUP($A23,'Grapes Margin - Alternative'!$A$7:$BB$41,COLUMNS('Grapes Margin - Alternative'!$A26:$J26),0)</f>
        <v>82317.386864851607</v>
      </c>
      <c r="AE23" s="62">
        <f>VLOOKUP($A23,'Grapes Margin - Alternative'!$A$7:$BY$41,COLUMNS('Grapes Margin - Alternative'!$A26:$BF26),0)</f>
        <v>30639.46049857443</v>
      </c>
      <c r="AF23" s="62">
        <f>VLOOKUP($A23,'Grapes Margin - Alternative'!$A$7:$BY$41,COLUMNS('Grapes Margin - Alternative'!$A26:$BI26),0)</f>
        <v>51677.926366277177</v>
      </c>
      <c r="AG23" s="64">
        <f>+VLOOKUP($A23,'Grapes Margin - Alternative'!$A$7:$BY$41,COLUMNS('Grapes Margin - Alternative'!$A26:$BL26),0)</f>
        <v>5.4781233965554055</v>
      </c>
      <c r="AH23" s="62">
        <f>+VLOOKUP($A23,'Citrus Margin ORAG - Baseline'!$A$7:$BC$41,COLUMNS('Citrus Margin ORAG - Baseline'!$A26:$C26),0)</f>
        <v>890.88081022566678</v>
      </c>
      <c r="AI23" s="104">
        <f>+VLOOKUP($A23,'Citrus Margin ORAG - Baseline'!$A$7:$BC$41,COLUMNS('Citrus Margin ORAG - Baseline'!$A26:$F26),0)</f>
        <v>40</v>
      </c>
      <c r="AJ23" s="62">
        <f>VLOOKUP($A23,'Citrus Margin ORAG - Baseline'!$A$7:$BC$41,COLUMNS('Citrus Margin ORAG - Baseline'!$A26:$I26),0)</f>
        <v>35635.23240902667</v>
      </c>
      <c r="AK23" s="62">
        <f>VLOOKUP($A23,'Citrus Margin ORAG - Baseline'!$A$7:$BC$41,COLUMNS('Citrus Margin ORAG - Baseline'!$A26:$AY26),0)</f>
        <v>23282.122893141634</v>
      </c>
      <c r="AL23" s="62">
        <f>+VLOOKUP($A23,'Citrus Margin ORAG - Baseline'!$A$7:$BC$41,COLUMNS('Citrus Margin ORAG - Baseline'!$A26:$BA26),0)</f>
        <v>12353.109515885037</v>
      </c>
      <c r="AM23" s="64">
        <f>+VLOOKUP($A23,'Citrus Margin ORAG - Baseline'!$A$7:$BC$41,COLUMNS('Citrus Margin ORAG - Baseline'!$A26:$BC26),0)</f>
        <v>25.137035620754585</v>
      </c>
      <c r="AN23" s="62">
        <f>+VLOOKUP($A23,'Citrus Margin ORAG- Alternative'!$A$7:$BW$41,COLUMNS('Citrus Margin ORAG- Alternative'!$A26:$E26),0)</f>
        <v>890.88081022566678</v>
      </c>
      <c r="AO23" s="62">
        <f>'Citrus Margin ORAG- Alternative'!H26</f>
        <v>40</v>
      </c>
      <c r="AP23" s="62">
        <f>VLOOKUP($A23,'Citrus Margin ORAG- Alternative'!$A$7:$BB$41,COLUMNS('Citrus Margin ORAG- Alternative'!$A26:$J26),0)</f>
        <v>35635.23240902667</v>
      </c>
      <c r="AQ23" s="62">
        <f>VLOOKUP($A23,'Citrus Margin ORAG- Alternative'!$A$7:$CA$41,COLUMNS('Citrus Margin ORAG- Alternative'!$A26:BA26),0)</f>
        <v>23282.122893141634</v>
      </c>
      <c r="AR23" s="62">
        <f>VLOOKUP($A23,'Citrus Margin ORAG- Alternative'!$A$7:$BW$41,COLUMNS('Citrus Margin ORAG- Alternative'!$A26:$BD26),0)</f>
        <v>12353.109515885037</v>
      </c>
      <c r="AS23" s="64">
        <f>+VLOOKUP($A23,'Citrus Margin ORAG- Alternative'!$A$7:$BW$41,COLUMNS('Citrus Margin ORAG- Alternative'!$A26:$BG26),0)</f>
        <v>25.137035620754585</v>
      </c>
      <c r="AU23" s="62">
        <f>+VLOOKUP($A23,'Citrus Margin MAND - Baseline'!$A$7:$CA$41,COLUMNS('Citrus Margin MAND - Baseline'!$A26:$C26),0)</f>
        <v>1247.233134315934</v>
      </c>
      <c r="AV23" s="104">
        <f>+VLOOKUP($A23,'Citrus Margin MAND - Baseline'!$A$7:$CA$41,COLUMNS('Citrus Margin MAND - Baseline'!$A26:$F26),0)</f>
        <v>45</v>
      </c>
      <c r="AW23" s="62">
        <f>VLOOKUP($A23,'Citrus Margin MAND - Baseline'!$A$7:$CA$41,COLUMNS('Citrus Margin MAND - Baseline'!$A26:$I26),0)</f>
        <v>56125.491044217029</v>
      </c>
      <c r="AX23" s="62">
        <f>VLOOKUP($A23,'Citrus Margin MAND - Baseline'!$A$7:$BC$41,COLUMNS('Citrus Margin MAND - Baseline'!$A26:$AY26),0)</f>
        <v>36665.639451421281</v>
      </c>
      <c r="AY23" s="62">
        <f>+VLOOKUP($A23,'Citrus Margin MAND - Baseline'!$A$7:$BC$41,COLUMNS('Citrus Margin MAND - Baseline'!$A26:$BA26),0)</f>
        <v>19459.851592795749</v>
      </c>
      <c r="AZ23" s="64">
        <f>+VLOOKUP($A23,'Citrus Margin MAND - Baseline'!$A$7:$BC$41,COLUMNS('Citrus Margin MAND - Baseline'!$A26:$BC26),0)</f>
        <v>28.636689637031548</v>
      </c>
      <c r="BA23" s="62">
        <f>+VLOOKUP($A23,'Citrus Margin MAND- Alternative'!$A$7:$BX$41,COLUMNS('Citrus Margin MAND- Alternative'!$A26:$C26),0)</f>
        <v>1247.233134315934</v>
      </c>
      <c r="BB23" s="62">
        <f>'Citrus Margin MAND- Alternative'!F26</f>
        <v>45</v>
      </c>
      <c r="BC23" s="62">
        <f>VLOOKUP($A23,'Citrus Margin MAND- Alternative'!$A$7:$BC$41,COLUMNS('Citrus Margin MAND- Alternative'!$A26:$I26),0)</f>
        <v>56125.491044217029</v>
      </c>
      <c r="BD23" s="62">
        <f>VLOOKUP($A23,'Citrus Margin MAND- Alternative'!$A$7:$BC$41,COLUMNS('Citrus Margin MAND- Alternative'!$A26:$AZ26),0)</f>
        <v>36665.639451421281</v>
      </c>
      <c r="BE23" s="62">
        <f>VLOOKUP($A23,'Citrus Margin MAND- Alternative'!$A$7:$BX$41,COLUMNS('Citrus Margin MAND- Alternative'!$A26:$BC26),0)</f>
        <v>19459.851592795749</v>
      </c>
      <c r="BF23" s="64">
        <f>+VLOOKUP($A23,'Citrus Margin MAND- Alternative'!$A$7:$BX$41,COLUMNS('Citrus Margin MAND- Alternative'!$A26:$BF26),0)</f>
        <v>28.636689637031548</v>
      </c>
    </row>
    <row r="24" spans="1:58" x14ac:dyDescent="0.2">
      <c r="A24" s="8">
        <f t="shared" si="0"/>
        <v>2041</v>
      </c>
      <c r="B24" s="34">
        <f>+VLOOKUP($A24,'Almonds Margin - Baseline'!$A$5:$BL$39,COLUMNS('Almonds Margin - Baseline'!$A30:$B30),0)</f>
        <v>11952.056949987555</v>
      </c>
      <c r="C24" s="34">
        <f t="shared" si="1"/>
        <v>11.952056949987554</v>
      </c>
      <c r="D24" s="28">
        <f>+VLOOKUP($A24,'Almonds Margin - Baseline'!$A$5:$BL$39,COLUMNS('Almonds Margin - Baseline'!$A30:$D30),0)</f>
        <v>2.48</v>
      </c>
      <c r="E24" s="28">
        <f>+VLOOKUP($A24,'Almonds Margin - Baseline'!$A$5:$BL$39,COLUMNS('Almonds Margin - Baseline'!$A30:$F30),0)</f>
        <v>29641.101235969134</v>
      </c>
      <c r="F24" s="28">
        <f>+VLOOKUP($A24,'Almonds Margin - Baseline'!$A$5:$BL$39,COLUMNS('Almonds Margin - Baseline'!$A30:$BH30),0)</f>
        <v>23857.419273083444</v>
      </c>
      <c r="G24" s="28">
        <f>+VLOOKUP($A24,'Almonds Margin - Baseline'!$A$5:$BL$39,COLUMNS('Almonds Margin - Baseline'!$A30:$BJ30),0)</f>
        <v>5783.6819628856902</v>
      </c>
      <c r="H24" s="166">
        <f>+VLOOKUP($A24,'Almonds Margin - Baseline'!$A$5:$BL$39,COLUMNS('Almonds Margin - Baseline'!$A30:$BL30),0)</f>
        <v>1.6959866809995221</v>
      </c>
      <c r="I24" s="34">
        <f>+VLOOKUP($A24,'Almonds Margin - Alternative'!$A$7:$BT$41,COLUMNS('Almonds Margin - Alternative'!$A32:$D32),0)</f>
        <v>11952.056949987555</v>
      </c>
      <c r="J24" s="34">
        <f t="shared" si="2"/>
        <v>11.952056949987554</v>
      </c>
      <c r="K24" s="28">
        <f>'Almonds Margin - Alternative'!H27</f>
        <v>2.48</v>
      </c>
      <c r="L24" s="28">
        <f>+VLOOKUP($A24,'Almonds Margin - Alternative'!$A$7:$BT$41,COLUMNS('Almonds Margin - Alternative'!$A32:$K32),0)</f>
        <v>29641.101235969134</v>
      </c>
      <c r="M24" s="28">
        <f>+VLOOKUP($A24,'Almonds Margin - Alternative'!$A$7:$BT$41,COLUMNS('Almonds Margin - Alternative'!$A32:$BO32),0)</f>
        <v>23857.419273083444</v>
      </c>
      <c r="N24" s="28">
        <f>+VLOOKUP($A24,'Almonds Margin - Alternative'!$A$7:$BT$41,COLUMNS('Almonds Margin - Alternative'!$A32:$BR32),0)</f>
        <v>5783.6819628856902</v>
      </c>
      <c r="O24" s="158">
        <f>+VLOOKUP($A24,'Almonds Margin - Alternative'!$A$7:$CA$41,COLUMNS('Almonds Margin - Alternative'!$A32:$BU32),0)</f>
        <v>1.6959866809995221</v>
      </c>
      <c r="P24" s="28">
        <f>+VLOOKUP($A24,'Almonds Margin - Alter.Ex.Rate'!$A$7:$BL$41,COLUMNS('Almonds Margin - Alter.Ex.Rate'!$A32:$BJ32),0)</f>
        <v>9490.105465645247</v>
      </c>
      <c r="Q24" s="34">
        <f>+VLOOKUP($A24,'Almonds Margin - Alter.Ex.Rate'!$A$7:$BL$41,COLUMNS('Almonds Margin - Alter.Ex.Rate'!$A32:$BL32),0)</f>
        <v>1.5735986148472889</v>
      </c>
      <c r="R24" s="34">
        <f>+VLOOKUP($A24,'Almonds Margin - Baseline'!$A$5:$BL$39,COLUMNS( 'Almonds Margin - Baseline'!$A30:$B30),0)</f>
        <v>11952.056949987555</v>
      </c>
      <c r="S24" s="28">
        <f>+VLOOKUP($A24,'Almonds Margin - Baseline'!$A$5:$BL$39,COLUMNS('Almonds Margin - Baseline'!$A30:$D30),0)</f>
        <v>2.48</v>
      </c>
      <c r="T24" s="28">
        <f>+VLOOKUP($A24,'Almonds Margin - Baseline'!$A$5:$BL$39,COLUMNS('Almonds Margin - Baseline'!$A30:$F30),0)</f>
        <v>29641.101235969134</v>
      </c>
      <c r="U24" s="28" t="e">
        <f>+VLOOKUP($A24,#REF!,COLUMNS(#REF!),0)</f>
        <v>#REF!</v>
      </c>
      <c r="V24" s="62">
        <f>+VLOOKUP($A24,'Grapes Margin - Baseline'!$A$7:$BC$41,COLUMNS('Grapes Margin - Baseline'!$A29:$C29),0)</f>
        <v>5516.3339769173281</v>
      </c>
      <c r="W24" s="104">
        <f>'Grapes Margin - Baseline'!F27</f>
        <v>15.4</v>
      </c>
      <c r="X24" s="62">
        <f>VLOOKUP($A24,'Grapes Margin - Baseline'!$A$7:$BC$41,COLUMNS('Grapes Margin - Baseline'!$A27:$I27),0)</f>
        <v>84951.543244526853</v>
      </c>
      <c r="Y24" s="62">
        <f>VLOOKUP($A24,'Grapes Margin - Baseline'!$A$7:$CA$41,COLUMNS('Grapes Margin - Baseline'!$A27:$BD27),0)</f>
        <v>31543.134661963606</v>
      </c>
      <c r="Z24" s="62">
        <f>+VLOOKUP($A24,'Grapes Margin - Baseline'!$A$7:$CA$41,COLUMNS('Grapes Margin - Baseline'!$A27:$BF27),0)</f>
        <v>53408.40858256325</v>
      </c>
      <c r="AA24" s="64">
        <f>+VLOOKUP($A24,'Grapes Margin - Baseline'!$A$7:$CA$41,COLUMNS('Grapes Margin - Baseline'!$A27:$BH27),0)</f>
        <v>5.4643924363749408</v>
      </c>
      <c r="AB24" s="62">
        <f>+VLOOKUP($A24,'Grapes Margin - Alternative'!$A$7:$BY$41,COLUMNS('Grapes Margin - Alternative'!$A27:$C27),0)</f>
        <v>5516.3339769173281</v>
      </c>
      <c r="AC24" s="62">
        <f>'Grapes Margin - Alternative'!F27</f>
        <v>15.4</v>
      </c>
      <c r="AD24" s="62">
        <f>VLOOKUP($A24,'Grapes Margin - Alternative'!$A$7:$BB$41,COLUMNS('Grapes Margin - Alternative'!$A27:$J27),0)</f>
        <v>84951.543244526853</v>
      </c>
      <c r="AE24" s="62">
        <f>VLOOKUP($A24,'Grapes Margin - Alternative'!$A$7:$BY$41,COLUMNS('Grapes Margin - Alternative'!$A27:$BF27),0)</f>
        <v>31543.699821911432</v>
      </c>
      <c r="AF24" s="62">
        <f>VLOOKUP($A24,'Grapes Margin - Alternative'!$A$7:$BY$41,COLUMNS('Grapes Margin - Alternative'!$A27:$BI27),0)</f>
        <v>53407.84342261542</v>
      </c>
      <c r="AG24" s="64">
        <f>+VLOOKUP($A24,'Grapes Margin - Alternative'!$A$7:$BY$41,COLUMNS('Grapes Margin - Alternative'!$A27:$BL27),0)</f>
        <v>5.4644976038416431</v>
      </c>
      <c r="AH24" s="62">
        <f>+VLOOKUP($A24,'Citrus Margin ORAG - Baseline'!$A$7:$BC$41,COLUMNS('Citrus Margin ORAG - Baseline'!$A27:$C27),0)</f>
        <v>919.38899615288824</v>
      </c>
      <c r="AI24" s="104">
        <f>+VLOOKUP($A24,'Citrus Margin ORAG - Baseline'!$A$7:$BC$41,COLUMNS('Citrus Margin ORAG - Baseline'!$A27:$F27),0)</f>
        <v>40</v>
      </c>
      <c r="AJ24" s="62">
        <f>VLOOKUP($A24,'Citrus Margin ORAG - Baseline'!$A$7:$BC$41,COLUMNS('Citrus Margin ORAG - Baseline'!$A27:$I27),0)</f>
        <v>36775.559846115531</v>
      </c>
      <c r="AK24" s="62">
        <f>VLOOKUP($A24,'Citrus Margin ORAG - Baseline'!$A$7:$BC$41,COLUMNS('Citrus Margin ORAG - Baseline'!$A27:$AY27),0)</f>
        <v>23935.616966437479</v>
      </c>
      <c r="AL24" s="62">
        <f>+VLOOKUP($A24,'Citrus Margin ORAG - Baseline'!$A$7:$BC$41,COLUMNS('Citrus Margin ORAG - Baseline'!$A27:$BA27),0)</f>
        <v>12839.942879678052</v>
      </c>
      <c r="AM24" s="64">
        <f>+VLOOKUP($A24,'Citrus Margin ORAG - Baseline'!$A$7:$BC$41,COLUMNS('Citrus Margin ORAG - Baseline'!$A27:$BC27),0)</f>
        <v>25.039895542889354</v>
      </c>
      <c r="AN24" s="62">
        <f>+VLOOKUP($A24,'Citrus Margin ORAG- Alternative'!$A$7:$BW$41,COLUMNS('Citrus Margin ORAG- Alternative'!$A27:$E27),0)</f>
        <v>919.38899615288824</v>
      </c>
      <c r="AO24" s="62">
        <f>'Citrus Margin ORAG- Alternative'!H27</f>
        <v>40</v>
      </c>
      <c r="AP24" s="62">
        <f>VLOOKUP($A24,'Citrus Margin ORAG- Alternative'!$A$7:$BB$41,COLUMNS('Citrus Margin ORAG- Alternative'!$A27:$J27),0)</f>
        <v>36775.559846115531</v>
      </c>
      <c r="AQ24" s="62">
        <f>VLOOKUP($A24,'Citrus Margin ORAG- Alternative'!$A$7:$CA$41,COLUMNS('Citrus Margin ORAG- Alternative'!$A27:BA27),0)</f>
        <v>23935.616966437479</v>
      </c>
      <c r="AR24" s="62">
        <f>VLOOKUP($A24,'Citrus Margin ORAG- Alternative'!$A$7:$BW$41,COLUMNS('Citrus Margin ORAG- Alternative'!$A27:$BD27),0)</f>
        <v>12839.942879678052</v>
      </c>
      <c r="AS24" s="64">
        <f>+VLOOKUP($A24,'Citrus Margin ORAG- Alternative'!$A$7:$BW$41,COLUMNS('Citrus Margin ORAG- Alternative'!$A27:$BG27),0)</f>
        <v>25.039895542889354</v>
      </c>
      <c r="AU24" s="62">
        <f>+VLOOKUP($A24,'Citrus Margin MAND - Baseline'!$A$7:$CA$41,COLUMNS('Citrus Margin MAND - Baseline'!$A27:$C27),0)</f>
        <v>1287.1445946140441</v>
      </c>
      <c r="AV24" s="104">
        <f>+VLOOKUP($A24,'Citrus Margin MAND - Baseline'!$A$7:$CA$41,COLUMNS('Citrus Margin MAND - Baseline'!$A27:$F27),0)</f>
        <v>45</v>
      </c>
      <c r="AW24" s="62">
        <f>VLOOKUP($A24,'Citrus Margin MAND - Baseline'!$A$7:$CA$41,COLUMNS('Citrus Margin MAND - Baseline'!$A27:$I27),0)</f>
        <v>57921.506757631985</v>
      </c>
      <c r="AX24" s="62">
        <f>VLOOKUP($A24,'Citrus Margin MAND - Baseline'!$A$7:$BC$41,COLUMNS('Citrus Margin MAND - Baseline'!$A27:$AY27),0)</f>
        <v>37748.346450761834</v>
      </c>
      <c r="AY24" s="62">
        <f>+VLOOKUP($A24,'Citrus Margin MAND - Baseline'!$A$7:$BC$41,COLUMNS('Citrus Margin MAND - Baseline'!$A27:$BA27),0)</f>
        <v>20173.160306870152</v>
      </c>
      <c r="AZ24" s="64">
        <f>+VLOOKUP($A24,'Citrus Margin MAND - Baseline'!$A$7:$BC$41,COLUMNS('Citrus Margin MAND - Baseline'!$A27:$BC27),0)</f>
        <v>28.568925498279533</v>
      </c>
      <c r="BA24" s="62">
        <f>+VLOOKUP($A24,'Citrus Margin MAND- Alternative'!$A$7:$BX$41,COLUMNS('Citrus Margin MAND- Alternative'!$A27:$C27),0)</f>
        <v>1287.1445946140441</v>
      </c>
      <c r="BB24" s="62">
        <f>'Citrus Margin MAND- Alternative'!F27</f>
        <v>45</v>
      </c>
      <c r="BC24" s="62">
        <f>VLOOKUP($A24,'Citrus Margin MAND- Alternative'!$A$7:$BC$41,COLUMNS('Citrus Margin MAND- Alternative'!$A27:$I27),0)</f>
        <v>57921.506757631985</v>
      </c>
      <c r="BD24" s="62">
        <f>VLOOKUP($A24,'Citrus Margin MAND- Alternative'!$A$7:$BC$41,COLUMNS('Citrus Margin MAND- Alternative'!$A27:$AZ27),0)</f>
        <v>37748.346450761834</v>
      </c>
      <c r="BE24" s="62">
        <f>VLOOKUP($A24,'Citrus Margin MAND- Alternative'!$A$7:$BX$41,COLUMNS('Citrus Margin MAND- Alternative'!$A27:$BC27),0)</f>
        <v>20173.160306870152</v>
      </c>
      <c r="BF24" s="64">
        <f>+VLOOKUP($A24,'Citrus Margin MAND- Alternative'!$A$7:$BX$41,COLUMNS('Citrus Margin MAND- Alternative'!$A27:$BF27),0)</f>
        <v>28.568925498279533</v>
      </c>
    </row>
    <row r="25" spans="1:58" x14ac:dyDescent="0.2">
      <c r="A25" s="8">
        <f t="shared" si="0"/>
        <v>2042</v>
      </c>
      <c r="B25" s="34">
        <f>+VLOOKUP($A25,'Almonds Margin - Baseline'!$A$5:$BL$39,COLUMNS('Almonds Margin - Baseline'!$A31:$B31),0)</f>
        <v>12334.522772387156</v>
      </c>
      <c r="C25" s="34">
        <f t="shared" si="1"/>
        <v>12.334522772387157</v>
      </c>
      <c r="D25" s="28">
        <f>+VLOOKUP($A25,'Almonds Margin - Baseline'!$A$5:$BL$39,COLUMNS('Almonds Margin - Baseline'!$A31:$D31),0)</f>
        <v>2.48</v>
      </c>
      <c r="E25" s="28">
        <f>+VLOOKUP($A25,'Almonds Margin - Baseline'!$A$5:$BL$39,COLUMNS('Almonds Margin - Baseline'!$A31:$F31),0)</f>
        <v>30589.616475520146</v>
      </c>
      <c r="F25" s="28">
        <f>+VLOOKUP($A25,'Almonds Margin - Baseline'!$A$5:$BL$39,COLUMNS('Almonds Margin - Baseline'!$A31:$BH31),0)</f>
        <v>24513.683069990311</v>
      </c>
      <c r="G25" s="28">
        <f>+VLOOKUP($A25,'Almonds Margin - Baseline'!$A$5:$BL$39,COLUMNS('Almonds Margin - Baseline'!$A31:$BJ31),0)</f>
        <v>6075.933405529835</v>
      </c>
      <c r="H25" s="166">
        <f>+VLOOKUP($A25,'Almonds Margin - Baseline'!$A$5:$BL$39,COLUMNS('Almonds Margin - Baseline'!$A31:$BL31),0)</f>
        <v>1.6873906629370645</v>
      </c>
      <c r="I25" s="34">
        <f>+VLOOKUP($A25,'Almonds Margin - Alternative'!$A$7:$BT$41,COLUMNS('Almonds Margin - Alternative'!$A33:$D33),0)</f>
        <v>12334.522772387156</v>
      </c>
      <c r="J25" s="34">
        <f t="shared" si="2"/>
        <v>12.334522772387157</v>
      </c>
      <c r="K25" s="28">
        <f>'Almonds Margin - Alternative'!H28</f>
        <v>2.48</v>
      </c>
      <c r="L25" s="28">
        <f>+VLOOKUP($A25,'Almonds Margin - Alternative'!$A$7:$BT$41,COLUMNS('Almonds Margin - Alternative'!$A33:$K33),0)</f>
        <v>30589.616475520146</v>
      </c>
      <c r="M25" s="28">
        <f>+VLOOKUP($A25,'Almonds Margin - Alternative'!$A$7:$BT$41,COLUMNS('Almonds Margin - Alternative'!$A33:$BO33),0)</f>
        <v>24513.683069990311</v>
      </c>
      <c r="N25" s="28">
        <f>+VLOOKUP($A25,'Almonds Margin - Alternative'!$A$7:$BT$41,COLUMNS('Almonds Margin - Alternative'!$A33:$BR33),0)</f>
        <v>6075.933405529835</v>
      </c>
      <c r="O25" s="158">
        <f>+VLOOKUP($A25,'Almonds Margin - Alternative'!$A$7:$CA$41,COLUMNS('Almonds Margin - Alternative'!$A33:$BU33),0)</f>
        <v>1.6873906629370645</v>
      </c>
      <c r="P25" s="28">
        <f>+VLOOKUP($A25,'Almonds Margin - Alter.Ex.Rate'!$A$7:$BL$41,COLUMNS('Almonds Margin - Alter.Ex.Rate'!$A33:$BJ33),0)</f>
        <v>10050.452026602889</v>
      </c>
      <c r="Q25" s="34">
        <f>+VLOOKUP($A25,'Almonds Margin - Alter.Ex.Rate'!$A$7:$BL$41,COLUMNS('Almonds Margin - Alter.Ex.Rate'!$A33:$BL33),0)</f>
        <v>1.5500655512502062</v>
      </c>
      <c r="R25" s="34">
        <f>+VLOOKUP($A25,'Almonds Margin - Baseline'!$A$5:$BL$39,COLUMNS( 'Almonds Margin - Baseline'!$A31:$B31),0)</f>
        <v>12334.522772387156</v>
      </c>
      <c r="S25" s="28">
        <f>+VLOOKUP($A25,'Almonds Margin - Baseline'!$A$5:$BL$39,COLUMNS('Almonds Margin - Baseline'!$A31:$D31),0)</f>
        <v>2.48</v>
      </c>
      <c r="T25" s="28">
        <f>+VLOOKUP($A25,'Almonds Margin - Baseline'!$A$5:$BL$39,COLUMNS('Almonds Margin - Baseline'!$A31:$F31),0)</f>
        <v>30589.616475520146</v>
      </c>
      <c r="U25" s="28" t="e">
        <f>+VLOOKUP($A25,#REF!,COLUMNS(#REF!),0)</f>
        <v>#REF!</v>
      </c>
      <c r="V25" s="62">
        <f>+VLOOKUP($A25,'Grapes Margin - Baseline'!$A$7:$BC$41,COLUMNS('Grapes Margin - Baseline'!$A30:$C30),0)</f>
        <v>5692.8566641786829</v>
      </c>
      <c r="W25" s="104">
        <f>'Grapes Margin - Baseline'!F28</f>
        <v>15.4</v>
      </c>
      <c r="X25" s="62">
        <f>VLOOKUP($A25,'Grapes Margin - Baseline'!$A$7:$BC$41,COLUMNS('Grapes Margin - Baseline'!$A28:$I28),0)</f>
        <v>87669.992628351712</v>
      </c>
      <c r="Y25" s="62">
        <f>VLOOKUP($A25,'Grapes Margin - Baseline'!$A$7:$CA$41,COLUMNS('Grapes Margin - Baseline'!$A28:$BD28),0)</f>
        <v>32486.314740745504</v>
      </c>
      <c r="Z25" s="62">
        <f>+VLOOKUP($A25,'Grapes Margin - Baseline'!$A$7:$CA$41,COLUMNS('Grapes Margin - Baseline'!$A28:$BF28),0)</f>
        <v>55183.677887606209</v>
      </c>
      <c r="AA25" s="64">
        <f>+VLOOKUP($A25,'Grapes Margin - Baseline'!$A$7:$CA$41,COLUMNS('Grapes Margin - Baseline'!$A28:$BH28),0)</f>
        <v>5.4529980673702854</v>
      </c>
      <c r="AB25" s="62">
        <f>+VLOOKUP($A25,'Grapes Margin - Alternative'!$A$7:$BY$41,COLUMNS('Grapes Margin - Alternative'!$A28:$C28),0)</f>
        <v>5692.8566641786829</v>
      </c>
      <c r="AC25" s="62">
        <f>'Grapes Margin - Alternative'!F28</f>
        <v>15.4</v>
      </c>
      <c r="AD25" s="62">
        <f>VLOOKUP($A25,'Grapes Margin - Alternative'!$A$7:$BB$41,COLUMNS('Grapes Margin - Alternative'!$A28:$J28),0)</f>
        <v>87669.992628351712</v>
      </c>
      <c r="AE25" s="62">
        <f>VLOOKUP($A25,'Grapes Margin - Alternative'!$A$7:$BY$41,COLUMNS('Grapes Margin - Alternative'!$A28:$BF28),0)</f>
        <v>32486.882794349578</v>
      </c>
      <c r="AF25" s="62">
        <f>VLOOKUP($A25,'Grapes Margin - Alternative'!$A$7:$BY$41,COLUMNS('Grapes Margin - Alternative'!$A28:$BI28),0)</f>
        <v>55183.109834002134</v>
      </c>
      <c r="AG25" s="64">
        <f>+VLOOKUP($A25,'Grapes Margin - Alternative'!$A$7:$BY$41,COLUMNS('Grapes Margin - Alternative'!$A28:$BL28),0)</f>
        <v>5.4531004890972969</v>
      </c>
      <c r="AH25" s="62">
        <f>+VLOOKUP($A25,'Citrus Margin ORAG - Baseline'!$A$7:$BC$41,COLUMNS('Citrus Margin ORAG - Baseline'!$A28:$C28),0)</f>
        <v>948.80944402978071</v>
      </c>
      <c r="AI25" s="104">
        <f>+VLOOKUP($A25,'Citrus Margin ORAG - Baseline'!$A$7:$BC$41,COLUMNS('Citrus Margin ORAG - Baseline'!$A28:$F28),0)</f>
        <v>40</v>
      </c>
      <c r="AJ25" s="62">
        <f>VLOOKUP($A25,'Citrus Margin ORAG - Baseline'!$A$7:$BC$41,COLUMNS('Citrus Margin ORAG - Baseline'!$A28:$I28),0)</f>
        <v>37952.37776119123</v>
      </c>
      <c r="AK25" s="62">
        <f>VLOOKUP($A25,'Citrus Margin ORAG - Baseline'!$A$7:$BC$41,COLUMNS('Citrus Margin ORAG - Baseline'!$A28:$AY28),0)</f>
        <v>24621.919489385815</v>
      </c>
      <c r="AL25" s="62">
        <f>+VLOOKUP($A25,'Citrus Margin ORAG - Baseline'!$A$7:$BC$41,COLUMNS('Citrus Margin ORAG - Baseline'!$A28:$BA28),0)</f>
        <v>13330.458271805415</v>
      </c>
      <c r="AM25" s="64">
        <f>+VLOOKUP($A25,'Citrus Margin ORAG - Baseline'!$A$7:$BC$41,COLUMNS('Citrus Margin ORAG - Baseline'!$A28:$BC28),0)</f>
        <v>24.95898064028389</v>
      </c>
      <c r="AN25" s="62">
        <f>+VLOOKUP($A25,'Citrus Margin ORAG- Alternative'!$A$7:$BW$41,COLUMNS('Citrus Margin ORAG- Alternative'!$A28:$E28),0)</f>
        <v>948.80944402978071</v>
      </c>
      <c r="AO25" s="62">
        <f>'Citrus Margin ORAG- Alternative'!H28</f>
        <v>40</v>
      </c>
      <c r="AP25" s="62">
        <f>VLOOKUP($A25,'Citrus Margin ORAG- Alternative'!$A$7:$BB$41,COLUMNS('Citrus Margin ORAG- Alternative'!$A28:$J28),0)</f>
        <v>37952.37776119123</v>
      </c>
      <c r="AQ25" s="62">
        <f>VLOOKUP($A25,'Citrus Margin ORAG- Alternative'!$A$7:$CA$41,COLUMNS('Citrus Margin ORAG- Alternative'!$A28:BA28),0)</f>
        <v>24621.919489385815</v>
      </c>
      <c r="AR25" s="62">
        <f>VLOOKUP($A25,'Citrus Margin ORAG- Alternative'!$A$7:$BW$41,COLUMNS('Citrus Margin ORAG- Alternative'!$A28:$BD28),0)</f>
        <v>13330.458271805415</v>
      </c>
      <c r="AS25" s="64">
        <f>+VLOOKUP($A25,'Citrus Margin ORAG- Alternative'!$A$7:$BW$41,COLUMNS('Citrus Margin ORAG- Alternative'!$A28:$BG28),0)</f>
        <v>24.95898064028389</v>
      </c>
      <c r="AU25" s="62">
        <f>+VLOOKUP($A25,'Citrus Margin MAND - Baseline'!$A$7:$CA$41,COLUMNS('Citrus Margin MAND - Baseline'!$A28:$C28),0)</f>
        <v>1328.3332216416934</v>
      </c>
      <c r="AV25" s="104">
        <f>+VLOOKUP($A25,'Citrus Margin MAND - Baseline'!$A$7:$CA$41,COLUMNS('Citrus Margin MAND - Baseline'!$A28:$F28),0)</f>
        <v>45</v>
      </c>
      <c r="AW25" s="62">
        <f>VLOOKUP($A25,'Citrus Margin MAND - Baseline'!$A$7:$CA$41,COLUMNS('Citrus Margin MAND - Baseline'!$A28:$I28),0)</f>
        <v>59774.994973876201</v>
      </c>
      <c r="AX25" s="62">
        <f>VLOOKUP($A25,'Citrus Margin MAND - Baseline'!$A$7:$BC$41,COLUMNS('Citrus Margin MAND - Baseline'!$A28:$AY28),0)</f>
        <v>38877.497273295914</v>
      </c>
      <c r="AY25" s="62">
        <f>+VLOOKUP($A25,'Citrus Margin MAND - Baseline'!$A$7:$BC$41,COLUMNS('Citrus Margin MAND - Baseline'!$A28:$BA28),0)</f>
        <v>20897.497700580287</v>
      </c>
      <c r="AZ25" s="64">
        <f>+VLOOKUP($A25,'Citrus Margin MAND - Baseline'!$A$7:$BC$41,COLUMNS('Citrus Margin MAND - Baseline'!$A28:$BC28),0)</f>
        <v>28.512479911578755</v>
      </c>
      <c r="BA25" s="62">
        <f>+VLOOKUP($A25,'Citrus Margin MAND- Alternative'!$A$7:$BX$41,COLUMNS('Citrus Margin MAND- Alternative'!$A28:$C28),0)</f>
        <v>1328.3332216416934</v>
      </c>
      <c r="BB25" s="62">
        <f>'Citrus Margin MAND- Alternative'!F28</f>
        <v>45</v>
      </c>
      <c r="BC25" s="62">
        <f>VLOOKUP($A25,'Citrus Margin MAND- Alternative'!$A$7:$BC$41,COLUMNS('Citrus Margin MAND- Alternative'!$A28:$I28),0)</f>
        <v>59774.994973876201</v>
      </c>
      <c r="BD25" s="62">
        <f>VLOOKUP($A25,'Citrus Margin MAND- Alternative'!$A$7:$BC$41,COLUMNS('Citrus Margin MAND- Alternative'!$A28:$AZ28),0)</f>
        <v>38877.497273295914</v>
      </c>
      <c r="BE25" s="62">
        <f>VLOOKUP($A25,'Citrus Margin MAND- Alternative'!$A$7:$BX$41,COLUMNS('Citrus Margin MAND- Alternative'!$A28:$BC28),0)</f>
        <v>20897.497700580287</v>
      </c>
      <c r="BF25" s="64">
        <f>+VLOOKUP($A25,'Citrus Margin MAND- Alternative'!$A$7:$BX$41,COLUMNS('Citrus Margin MAND- Alternative'!$A28:$BF28),0)</f>
        <v>28.512479911578755</v>
      </c>
    </row>
    <row r="26" spans="1:58" x14ac:dyDescent="0.2">
      <c r="A26" s="8">
        <f t="shared" si="0"/>
        <v>2043</v>
      </c>
      <c r="B26" s="34">
        <f>+VLOOKUP($A26,'Almonds Margin - Baseline'!$A$5:$BL$39,COLUMNS('Almonds Margin - Baseline'!$A32:$B32),0)</f>
        <v>12729.227501103544</v>
      </c>
      <c r="C26" s="34">
        <f t="shared" si="1"/>
        <v>12.729227501103544</v>
      </c>
      <c r="D26" s="28">
        <f>+VLOOKUP($A26,'Almonds Margin - Baseline'!$A$5:$BL$39,COLUMNS('Almonds Margin - Baseline'!$A32:$D32),0)</f>
        <v>2.48</v>
      </c>
      <c r="E26" s="28">
        <f>+VLOOKUP($A26,'Almonds Margin - Baseline'!$A$5:$BL$39,COLUMNS('Almonds Margin - Baseline'!$A32:$F32),0)</f>
        <v>31568.484202736789</v>
      </c>
      <c r="F26" s="28">
        <f>+VLOOKUP($A26,'Almonds Margin - Baseline'!$A$5:$BL$39,COLUMNS('Almonds Margin - Baseline'!$A32:$BH32),0)</f>
        <v>25202.337589042305</v>
      </c>
      <c r="G26" s="28">
        <f>+VLOOKUP($A26,'Almonds Margin - Baseline'!$A$5:$BL$39,COLUMNS('Almonds Margin - Baseline'!$A32:$BJ32),0)</f>
        <v>6366.1466136944837</v>
      </c>
      <c r="H26" s="166">
        <f>+VLOOKUP($A26,'Almonds Margin - Baseline'!$A$5:$BL$39,COLUMNS('Almonds Margin - Baseline'!$A32:$BL32),0)</f>
        <v>1.6799570483015058</v>
      </c>
      <c r="I26" s="34">
        <f>+VLOOKUP($A26,'Almonds Margin - Alternative'!$A$7:$BT$41,COLUMNS('Almonds Margin - Alternative'!$A34:$D34),0)</f>
        <v>12729.227501103544</v>
      </c>
      <c r="J26" s="34">
        <f t="shared" si="2"/>
        <v>12.729227501103544</v>
      </c>
      <c r="K26" s="28">
        <f>'Almonds Margin - Alternative'!H29</f>
        <v>2.48</v>
      </c>
      <c r="L26" s="28">
        <f>+VLOOKUP($A26,'Almonds Margin - Alternative'!$A$7:$BT$41,COLUMNS('Almonds Margin - Alternative'!$A34:$K34),0)</f>
        <v>31568.484202736789</v>
      </c>
      <c r="M26" s="28">
        <f>+VLOOKUP($A26,'Almonds Margin - Alternative'!$A$7:$BT$41,COLUMNS('Almonds Margin - Alternative'!$A34:$BO34),0)</f>
        <v>25202.337589042305</v>
      </c>
      <c r="N26" s="28">
        <f>+VLOOKUP($A26,'Almonds Margin - Alternative'!$A$7:$BT$41,COLUMNS('Almonds Margin - Alternative'!$A34:$BR34),0)</f>
        <v>6366.1466136944837</v>
      </c>
      <c r="O26" s="158">
        <f>+VLOOKUP($A26,'Almonds Margin - Alternative'!$A$7:$CA$41,COLUMNS('Almonds Margin - Alternative'!$A34:$BU34),0)</f>
        <v>1.6799570483015058</v>
      </c>
      <c r="P26" s="28">
        <f>+VLOOKUP($A26,'Almonds Margin - Alter.Ex.Rate'!$A$7:$BL$41,COLUMNS('Almonds Margin - Alter.Ex.Rate'!$A34:$BJ34),0)</f>
        <v>10630.967062505639</v>
      </c>
      <c r="Q26" s="34">
        <f>+VLOOKUP($A26,'Almonds Margin - Alter.Ex.Rate'!$A$7:$BL$41,COLUMNS('Almonds Margin - Alter.Ex.Rate'!$A34:$BL34),0)</f>
        <v>1.5270627499026623</v>
      </c>
      <c r="R26" s="34">
        <f>+VLOOKUP($A26,'Almonds Margin - Baseline'!$A$5:$BL$39,COLUMNS( 'Almonds Margin - Baseline'!$A32:$B32),0)</f>
        <v>12729.227501103544</v>
      </c>
      <c r="S26" s="28">
        <f>+VLOOKUP($A26,'Almonds Margin - Baseline'!$A$5:$BL$39,COLUMNS('Almonds Margin - Baseline'!$A32:$D32),0)</f>
        <v>2.48</v>
      </c>
      <c r="T26" s="28">
        <f>+VLOOKUP($A26,'Almonds Margin - Baseline'!$A$5:$BL$39,COLUMNS('Almonds Margin - Baseline'!$A32:$F32),0)</f>
        <v>31568.484202736789</v>
      </c>
      <c r="U26" s="28" t="e">
        <f>+VLOOKUP($A26,#REF!,COLUMNS(#REF!),0)</f>
        <v>#REF!</v>
      </c>
      <c r="V26" s="62">
        <f>+VLOOKUP($A26,'Grapes Margin - Baseline'!$A$7:$BC$41,COLUMNS('Grapes Margin - Baseline'!$A31:$C31),0)</f>
        <v>5875.028077432401</v>
      </c>
      <c r="W26" s="104">
        <f>'Grapes Margin - Baseline'!F29</f>
        <v>15.4</v>
      </c>
      <c r="X26" s="62">
        <f>VLOOKUP($A26,'Grapes Margin - Baseline'!$A$7:$BC$41,COLUMNS('Grapes Margin - Baseline'!$A29:$I29),0)</f>
        <v>90475.432392458984</v>
      </c>
      <c r="Y26" s="62">
        <f>VLOOKUP($A26,'Grapes Margin - Baseline'!$A$7:$CA$41,COLUMNS('Grapes Margin - Baseline'!$A29:$BD29),0)</f>
        <v>33466.266595869129</v>
      </c>
      <c r="Z26" s="62">
        <f>+VLOOKUP($A26,'Grapes Margin - Baseline'!$A$7:$CA$41,COLUMNS('Grapes Margin - Baseline'!$A29:$BF29),0)</f>
        <v>57009.165796589856</v>
      </c>
      <c r="AA26" s="64">
        <f>+VLOOKUP($A26,'Grapes Margin - Baseline'!$A$7:$CA$41,COLUMNS('Grapes Margin - Baseline'!$A29:$BH29),0)</f>
        <v>5.443109676396932</v>
      </c>
      <c r="AB26" s="62">
        <f>+VLOOKUP($A26,'Grapes Margin - Alternative'!$A$7:$BY$41,COLUMNS('Grapes Margin - Alternative'!$A29:$C29),0)</f>
        <v>5875.028077432401</v>
      </c>
      <c r="AC26" s="62">
        <f>'Grapes Margin - Alternative'!F29</f>
        <v>15.4</v>
      </c>
      <c r="AD26" s="62">
        <f>VLOOKUP($A26,'Grapes Margin - Alternative'!$A$7:$BB$41,COLUMNS('Grapes Margin - Alternative'!$A29:$J29),0)</f>
        <v>90475.432392458984</v>
      </c>
      <c r="AE26" s="62">
        <f>VLOOKUP($A26,'Grapes Margin - Alternative'!$A$7:$BY$41,COLUMNS('Grapes Margin - Alternative'!$A29:$BF29),0)</f>
        <v>33466.839269614175</v>
      </c>
      <c r="AF26" s="62">
        <f>VLOOKUP($A26,'Grapes Margin - Alternative'!$A$7:$BY$41,COLUMNS('Grapes Margin - Alternative'!$A29:$BI29),0)</f>
        <v>57008.59312284481</v>
      </c>
      <c r="AG26" s="64">
        <f>+VLOOKUP($A26,'Grapes Margin - Alternative'!$A$7:$BY$41,COLUMNS('Grapes Margin - Alternative'!$A29:$BL29),0)</f>
        <v>5.443209723298394</v>
      </c>
      <c r="AH26" s="62">
        <f>+VLOOKUP($A26,'Citrus Margin ORAG - Baseline'!$A$7:$BC$41,COLUMNS('Citrus Margin ORAG - Baseline'!$A29:$C29),0)</f>
        <v>979.1713462387338</v>
      </c>
      <c r="AI26" s="104">
        <f>+VLOOKUP($A26,'Citrus Margin ORAG - Baseline'!$A$7:$BC$41,COLUMNS('Citrus Margin ORAG - Baseline'!$A29:$F29),0)</f>
        <v>40</v>
      </c>
      <c r="AJ26" s="62">
        <f>VLOOKUP($A26,'Citrus Margin ORAG - Baseline'!$A$7:$BC$41,COLUMNS('Citrus Margin ORAG - Baseline'!$A29:$I29),0)</f>
        <v>39166.853849549356</v>
      </c>
      <c r="AK26" s="62">
        <f>VLOOKUP($A26,'Citrus Margin ORAG - Baseline'!$A$7:$BC$41,COLUMNS('Citrus Margin ORAG - Baseline'!$A29:$AY29),0)</f>
        <v>25338.01927736817</v>
      </c>
      <c r="AL26" s="62">
        <f>+VLOOKUP($A26,'Citrus Margin ORAG - Baseline'!$A$7:$BC$41,COLUMNS('Citrus Margin ORAG - Baseline'!$A29:$BA29),0)</f>
        <v>13828.834572181186</v>
      </c>
      <c r="AM26" s="64">
        <f>+VLOOKUP($A26,'Citrus Margin ORAG - Baseline'!$A$7:$BC$41,COLUMNS('Citrus Margin ORAG - Baseline'!$A29:$BC29),0)</f>
        <v>24.889007520186603</v>
      </c>
      <c r="AN26" s="62">
        <f>+VLOOKUP($A26,'Citrus Margin ORAG- Alternative'!$A$7:$BW$41,COLUMNS('Citrus Margin ORAG- Alternative'!$A29:$E29),0)</f>
        <v>979.1713462387338</v>
      </c>
      <c r="AO26" s="62">
        <f>'Citrus Margin ORAG- Alternative'!H29</f>
        <v>40</v>
      </c>
      <c r="AP26" s="62">
        <f>VLOOKUP($A26,'Citrus Margin ORAG- Alternative'!$A$7:$BB$41,COLUMNS('Citrus Margin ORAG- Alternative'!$A29:$J29),0)</f>
        <v>39166.853849549356</v>
      </c>
      <c r="AQ26" s="62">
        <f>VLOOKUP($A26,'Citrus Margin ORAG- Alternative'!$A$7:$CA$41,COLUMNS('Citrus Margin ORAG- Alternative'!$A29:BA29),0)</f>
        <v>25338.01927736817</v>
      </c>
      <c r="AR26" s="62">
        <f>VLOOKUP($A26,'Citrus Margin ORAG- Alternative'!$A$7:$BW$41,COLUMNS('Citrus Margin ORAG- Alternative'!$A29:$BD29),0)</f>
        <v>13828.834572181186</v>
      </c>
      <c r="AS26" s="64">
        <f>+VLOOKUP($A26,'Citrus Margin ORAG- Alternative'!$A$7:$BW$41,COLUMNS('Citrus Margin ORAG- Alternative'!$A29:$BG29),0)</f>
        <v>24.889007520186603</v>
      </c>
      <c r="AU26" s="62">
        <f>+VLOOKUP($A26,'Citrus Margin MAND - Baseline'!$A$7:$CA$41,COLUMNS('Citrus Margin MAND - Baseline'!$A29:$C29),0)</f>
        <v>1370.8398847342278</v>
      </c>
      <c r="AV26" s="104">
        <f>+VLOOKUP($A26,'Citrus Margin MAND - Baseline'!$A$7:$CA$41,COLUMNS('Citrus Margin MAND - Baseline'!$A29:$F29),0)</f>
        <v>45</v>
      </c>
      <c r="AW26" s="62">
        <f>VLOOKUP($A26,'Citrus Margin MAND - Baseline'!$A$7:$CA$41,COLUMNS('Citrus Margin MAND - Baseline'!$A29:$I29),0)</f>
        <v>61687.794813040251</v>
      </c>
      <c r="AX26" s="62">
        <f>VLOOKUP($A26,'Citrus Margin MAND - Baseline'!$A$7:$BC$41,COLUMNS('Citrus Margin MAND - Baseline'!$A29:$AY29),0)</f>
        <v>40050.55101138055</v>
      </c>
      <c r="AY26" s="62">
        <f>+VLOOKUP($A26,'Citrus Margin MAND - Baseline'!$A$7:$BC$41,COLUMNS('Citrus Margin MAND - Baseline'!$A29:$BA29),0)</f>
        <v>21637.243801659701</v>
      </c>
      <c r="AZ26" s="64">
        <f>+VLOOKUP($A26,'Citrus Margin MAND - Baseline'!$A$7:$BC$41,COLUMNS('Citrus Margin MAND - Baseline'!$A29:$BC29),0)</f>
        <v>28.463667224545887</v>
      </c>
      <c r="BA26" s="62">
        <f>+VLOOKUP($A26,'Citrus Margin MAND- Alternative'!$A$7:$BX$41,COLUMNS('Citrus Margin MAND- Alternative'!$A29:$C29),0)</f>
        <v>1370.8398847342278</v>
      </c>
      <c r="BB26" s="62">
        <f>'Citrus Margin MAND- Alternative'!F29</f>
        <v>45</v>
      </c>
      <c r="BC26" s="62">
        <f>VLOOKUP($A26,'Citrus Margin MAND- Alternative'!$A$7:$BC$41,COLUMNS('Citrus Margin MAND- Alternative'!$A29:$I29),0)</f>
        <v>61687.794813040251</v>
      </c>
      <c r="BD26" s="62">
        <f>VLOOKUP($A26,'Citrus Margin MAND- Alternative'!$A$7:$BC$41,COLUMNS('Citrus Margin MAND- Alternative'!$A29:$AZ29),0)</f>
        <v>40050.55101138055</v>
      </c>
      <c r="BE26" s="62">
        <f>VLOOKUP($A26,'Citrus Margin MAND- Alternative'!$A$7:$BX$41,COLUMNS('Citrus Margin MAND- Alternative'!$A29:$BC29),0)</f>
        <v>21637.243801659701</v>
      </c>
      <c r="BF26" s="64">
        <f>+VLOOKUP($A26,'Citrus Margin MAND- Alternative'!$A$7:$BX$41,COLUMNS('Citrus Margin MAND- Alternative'!$A29:$BF29),0)</f>
        <v>28.463667224545887</v>
      </c>
    </row>
    <row r="27" spans="1:58" x14ac:dyDescent="0.2">
      <c r="A27" s="8">
        <f t="shared" si="0"/>
        <v>2044</v>
      </c>
      <c r="B27" s="34">
        <f>+VLOOKUP($A27,'Almonds Margin - Baseline'!$A$5:$BL$39,COLUMNS('Almonds Margin - Baseline'!$A33:$B33),0)</f>
        <v>13136.562781138857</v>
      </c>
      <c r="C27" s="34">
        <f t="shared" si="1"/>
        <v>13.136562781138856</v>
      </c>
      <c r="D27" s="28">
        <f>+VLOOKUP($A27,'Almonds Margin - Baseline'!$A$5:$BL$39,COLUMNS('Almonds Margin - Baseline'!$A33:$D33),0)</f>
        <v>2.48</v>
      </c>
      <c r="E27" s="28">
        <f>+VLOOKUP($A27,'Almonds Margin - Baseline'!$A$5:$BL$39,COLUMNS('Almonds Margin - Baseline'!$A33:$F33),0)</f>
        <v>32578.675697224364</v>
      </c>
      <c r="F27" s="28">
        <f>+VLOOKUP($A27,'Almonds Margin - Baseline'!$A$5:$BL$39,COLUMNS('Almonds Margin - Baseline'!$A33:$BH33),0)</f>
        <v>25925.15044325103</v>
      </c>
      <c r="G27" s="28">
        <f>+VLOOKUP($A27,'Almonds Margin - Baseline'!$A$5:$BL$39,COLUMNS('Almonds Margin - Baseline'!$A33:$BJ33),0)</f>
        <v>6653.5252539733337</v>
      </c>
      <c r="H27" s="166">
        <f>+VLOOKUP($A27,'Almonds Margin - Baseline'!$A$5:$BL$39,COLUMNS('Almonds Margin - Baseline'!$A33:$BL33),0)</f>
        <v>1.6736777346681337</v>
      </c>
      <c r="I27" s="34">
        <f>+VLOOKUP($A27,'Almonds Margin - Alternative'!$A$7:$BT$41,COLUMNS('Almonds Margin - Alternative'!$A35:$D35),0)</f>
        <v>13136.562781138857</v>
      </c>
      <c r="J27" s="34">
        <f t="shared" si="2"/>
        <v>13.136562781138856</v>
      </c>
      <c r="K27" s="28">
        <f>'Almonds Margin - Alternative'!H30</f>
        <v>2.48</v>
      </c>
      <c r="L27" s="28">
        <f>+VLOOKUP($A27,'Almonds Margin - Alternative'!$A$7:$BT$41,COLUMNS('Almonds Margin - Alternative'!$A35:$K35),0)</f>
        <v>32578.675697224364</v>
      </c>
      <c r="M27" s="28">
        <f>+VLOOKUP($A27,'Almonds Margin - Alternative'!$A$7:$BT$41,COLUMNS('Almonds Margin - Alternative'!$A35:$BO35),0)</f>
        <v>25925.15044325103</v>
      </c>
      <c r="N27" s="28">
        <f>+VLOOKUP($A27,'Almonds Margin - Alternative'!$A$7:$BT$41,COLUMNS('Almonds Margin - Alternative'!$A35:$BR35),0)</f>
        <v>6653.5252539733337</v>
      </c>
      <c r="O27" s="158">
        <f>+VLOOKUP($A27,'Almonds Margin - Alternative'!$A$7:$CA$41,COLUMNS('Almonds Margin - Alternative'!$A35:$BU35),0)</f>
        <v>1.6736777346681337</v>
      </c>
      <c r="P27" s="28">
        <f>+VLOOKUP($A27,'Almonds Margin - Alter.Ex.Rate'!$A$7:$BL$41,COLUMNS('Almonds Margin - Alter.Ex.Rate'!$A35:$BJ35),0)</f>
        <v>11232.331762711648</v>
      </c>
      <c r="Q27" s="34">
        <f>+VLOOKUP($A27,'Almonds Margin - Alter.Ex.Rate'!$A$7:$BL$41,COLUMNS('Almonds Margin - Alter.Ex.Rate'!$A35:$BL35),0)</f>
        <v>1.5045768576587539</v>
      </c>
      <c r="R27" s="34">
        <f>+VLOOKUP($A27,'Almonds Margin - Baseline'!$A$5:$BL$39,COLUMNS( 'Almonds Margin - Baseline'!$A33:$B33),0)</f>
        <v>13136.562781138857</v>
      </c>
      <c r="S27" s="28">
        <f>+VLOOKUP($A27,'Almonds Margin - Baseline'!$A$5:$BL$39,COLUMNS('Almonds Margin - Baseline'!$A33:$D33),0)</f>
        <v>2.48</v>
      </c>
      <c r="T27" s="28">
        <f>+VLOOKUP($A27,'Almonds Margin - Baseline'!$A$5:$BL$39,COLUMNS('Almonds Margin - Baseline'!$A33:$F33),0)</f>
        <v>32578.675697224364</v>
      </c>
      <c r="U27" s="28" t="e">
        <f>+VLOOKUP($A27,#REF!,COLUMNS(#REF!),0)</f>
        <v>#REF!</v>
      </c>
      <c r="V27" s="62">
        <f>+VLOOKUP($A27,'Grapes Margin - Baseline'!$A$7:$BC$41,COLUMNS('Grapes Margin - Baseline'!$A32:$C32),0)</f>
        <v>6063.0289759102379</v>
      </c>
      <c r="W27" s="104">
        <f>'Grapes Margin - Baseline'!F30</f>
        <v>15.4</v>
      </c>
      <c r="X27" s="62">
        <f>VLOOKUP($A27,'Grapes Margin - Baseline'!$A$7:$BC$41,COLUMNS('Grapes Margin - Baseline'!$A30:$I30),0)</f>
        <v>93370.646229017671</v>
      </c>
      <c r="Y27" s="62">
        <f>VLOOKUP($A27,'Grapes Margin - Baseline'!$A$7:$CA$41,COLUMNS('Grapes Margin - Baseline'!$A30:$BD30),0)</f>
        <v>34484.589918528072</v>
      </c>
      <c r="Z27" s="62">
        <f>+VLOOKUP($A27,'Grapes Margin - Baseline'!$A$7:$CA$41,COLUMNS('Grapes Margin - Baseline'!$A30:$BF30),0)</f>
        <v>58886.056310489599</v>
      </c>
      <c r="AA27" s="64">
        <f>+VLOOKUP($A27,'Grapes Margin - Baseline'!$A$7:$CA$41,COLUMNS('Grapes Margin - Baseline'!$A30:$BH30),0)</f>
        <v>5.4347161837336335</v>
      </c>
      <c r="AB27" s="62">
        <f>+VLOOKUP($A27,'Grapes Margin - Alternative'!$A$7:$BY$41,COLUMNS('Grapes Margin - Alternative'!$A30:$C30),0)</f>
        <v>6063.0289759102379</v>
      </c>
      <c r="AC27" s="62">
        <f>'Grapes Margin - Alternative'!F30</f>
        <v>15.4</v>
      </c>
      <c r="AD27" s="62">
        <f>VLOOKUP($A27,'Grapes Margin - Alternative'!$A$7:$BB$41,COLUMNS('Grapes Margin - Alternative'!$A30:$J30),0)</f>
        <v>93370.646229017671</v>
      </c>
      <c r="AE27" s="62">
        <f>VLOOKUP($A27,'Grapes Margin - Alternative'!$A$7:$BY$41,COLUMNS('Grapes Margin - Alternative'!$A30:$BF30),0)</f>
        <v>34485.169099020954</v>
      </c>
      <c r="AF27" s="62">
        <f>VLOOKUP($A27,'Grapes Margin - Alternative'!$A$7:$BY$41,COLUMNS('Grapes Margin - Alternative'!$A30:$BI30),0)</f>
        <v>58885.477129996718</v>
      </c>
      <c r="AG27" s="64">
        <f>+VLOOKUP($A27,'Grapes Margin - Alternative'!$A$7:$BY$41,COLUMNS('Grapes Margin - Alternative'!$A30:$BL30),0)</f>
        <v>5.4348142240537891</v>
      </c>
      <c r="AH27" s="62">
        <f>+VLOOKUP($A27,'Citrus Margin ORAG - Baseline'!$A$7:$BC$41,COLUMNS('Citrus Margin ORAG - Baseline'!$A30:$C30),0)</f>
        <v>1010.5048293183731</v>
      </c>
      <c r="AI27" s="104">
        <f>+VLOOKUP($A27,'Citrus Margin ORAG - Baseline'!$A$7:$BC$41,COLUMNS('Citrus Margin ORAG - Baseline'!$A30:$F30),0)</f>
        <v>40</v>
      </c>
      <c r="AJ27" s="62">
        <f>VLOOKUP($A27,'Citrus Margin ORAG - Baseline'!$A$7:$BC$41,COLUMNS('Citrus Margin ORAG - Baseline'!$A30:$I30),0)</f>
        <v>40420.193172734929</v>
      </c>
      <c r="AK27" s="62">
        <f>VLOOKUP($A27,'Citrus Margin ORAG - Baseline'!$A$7:$BC$41,COLUMNS('Citrus Margin ORAG - Baseline'!$A30:$AY30),0)</f>
        <v>26085.372786862878</v>
      </c>
      <c r="AL27" s="62">
        <f>+VLOOKUP($A27,'Citrus Margin ORAG - Baseline'!$A$7:$BC$41,COLUMNS('Citrus Margin ORAG - Baseline'!$A30:$BA30),0)</f>
        <v>14334.820385872052</v>
      </c>
      <c r="AM27" s="64">
        <f>+VLOOKUP($A27,'Citrus Margin ORAG - Baseline'!$A$7:$BC$41,COLUMNS('Citrus Margin ORAG - Baseline'!$A30:$BC30),0)</f>
        <v>24.829899913922667</v>
      </c>
      <c r="AN27" s="62">
        <f>+VLOOKUP($A27,'Citrus Margin ORAG- Alternative'!$A$7:$BW$41,COLUMNS('Citrus Margin ORAG- Alternative'!$A30:$E30),0)</f>
        <v>1010.5048293183731</v>
      </c>
      <c r="AO27" s="62">
        <f>'Citrus Margin ORAG- Alternative'!H30</f>
        <v>40</v>
      </c>
      <c r="AP27" s="62">
        <f>VLOOKUP($A27,'Citrus Margin ORAG- Alternative'!$A$7:$BB$41,COLUMNS('Citrus Margin ORAG- Alternative'!$A30:$J30),0)</f>
        <v>40420.193172734929</v>
      </c>
      <c r="AQ27" s="62">
        <f>VLOOKUP($A27,'Citrus Margin ORAG- Alternative'!$A$7:$CA$41,COLUMNS('Citrus Margin ORAG- Alternative'!$A30:BA30),0)</f>
        <v>26085.372786862878</v>
      </c>
      <c r="AR27" s="62">
        <f>VLOOKUP($A27,'Citrus Margin ORAG- Alternative'!$A$7:$BW$41,COLUMNS('Citrus Margin ORAG- Alternative'!$A30:$BD30),0)</f>
        <v>14334.820385872052</v>
      </c>
      <c r="AS27" s="64">
        <f>+VLOOKUP($A27,'Citrus Margin ORAG- Alternative'!$A$7:$BW$41,COLUMNS('Citrus Margin ORAG- Alternative'!$A30:$BG30),0)</f>
        <v>24.829899913922667</v>
      </c>
      <c r="AU27" s="62">
        <f>+VLOOKUP($A27,'Citrus Margin MAND - Baseline'!$A$7:$CA$41,COLUMNS('Citrus Margin MAND - Baseline'!$A30:$C30),0)</f>
        <v>1414.7067610457229</v>
      </c>
      <c r="AV27" s="104">
        <f>+VLOOKUP($A27,'Citrus Margin MAND - Baseline'!$A$7:$CA$41,COLUMNS('Citrus Margin MAND - Baseline'!$A30:$F30),0)</f>
        <v>45</v>
      </c>
      <c r="AW27" s="62">
        <f>VLOOKUP($A27,'Citrus Margin MAND - Baseline'!$A$7:$CA$41,COLUMNS('Citrus Margin MAND - Baseline'!$A30:$I30),0)</f>
        <v>63661.804247057531</v>
      </c>
      <c r="AX27" s="62">
        <f>VLOOKUP($A27,'Citrus Margin MAND - Baseline'!$A$7:$BC$41,COLUMNS('Citrus Margin MAND - Baseline'!$A30:$AY30),0)</f>
        <v>41269.411298367268</v>
      </c>
      <c r="AY27" s="62">
        <f>+VLOOKUP($A27,'Citrus Margin MAND - Baseline'!$A$7:$BC$41,COLUMNS('Citrus Margin MAND - Baseline'!$A30:$BA30),0)</f>
        <v>22392.392948690263</v>
      </c>
      <c r="AZ27" s="64">
        <f>+VLOOKUP($A27,'Citrus Margin MAND - Baseline'!$A$7:$BC$41,COLUMNS('Citrus Margin MAND - Baseline'!$A30:$BC30),0)</f>
        <v>28.422434232765436</v>
      </c>
      <c r="BA27" s="62">
        <f>+VLOOKUP($A27,'Citrus Margin MAND- Alternative'!$A$7:$BX$41,COLUMNS('Citrus Margin MAND- Alternative'!$A30:$C30),0)</f>
        <v>1414.7067610457229</v>
      </c>
      <c r="BB27" s="62">
        <f>'Citrus Margin MAND- Alternative'!F30</f>
        <v>45</v>
      </c>
      <c r="BC27" s="62">
        <f>VLOOKUP($A27,'Citrus Margin MAND- Alternative'!$A$7:$BC$41,COLUMNS('Citrus Margin MAND- Alternative'!$A30:$I30),0)</f>
        <v>63661.804247057531</v>
      </c>
      <c r="BD27" s="62">
        <f>VLOOKUP($A27,'Citrus Margin MAND- Alternative'!$A$7:$BC$41,COLUMNS('Citrus Margin MAND- Alternative'!$A30:$AZ30),0)</f>
        <v>41269.411298367268</v>
      </c>
      <c r="BE27" s="62">
        <f>VLOOKUP($A27,'Citrus Margin MAND- Alternative'!$A$7:$BX$41,COLUMNS('Citrus Margin MAND- Alternative'!$A30:$BC30),0)</f>
        <v>22392.392948690263</v>
      </c>
      <c r="BF27" s="64">
        <f>+VLOOKUP($A27,'Citrus Margin MAND- Alternative'!$A$7:$BX$41,COLUMNS('Citrus Margin MAND- Alternative'!$A30:$BF30),0)</f>
        <v>28.422434232765436</v>
      </c>
    </row>
    <row r="28" spans="1:58" x14ac:dyDescent="0.2">
      <c r="A28" s="8">
        <f t="shared" si="0"/>
        <v>2045</v>
      </c>
      <c r="B28" s="34">
        <f>+VLOOKUP($A28,'Almonds Margin - Baseline'!$A$5:$BL$39,COLUMNS('Almonds Margin - Baseline'!$A34:$B34),0)</f>
        <v>13556.932790135299</v>
      </c>
      <c r="C28" s="34">
        <f t="shared" si="1"/>
        <v>13.556932790135299</v>
      </c>
      <c r="D28" s="28">
        <f>+VLOOKUP($A28,'Almonds Margin - Baseline'!$A$5:$BL$39,COLUMNS('Almonds Margin - Baseline'!$A34:$D34),0)</f>
        <v>2.48</v>
      </c>
      <c r="E28" s="28">
        <f>+VLOOKUP($A28,'Almonds Margin - Baseline'!$A$5:$BL$39,COLUMNS('Almonds Margin - Baseline'!$A34:$F34),0)</f>
        <v>33621.193319535538</v>
      </c>
      <c r="F28" s="28">
        <f>+VLOOKUP($A28,'Almonds Margin - Baseline'!$A$5:$BL$39,COLUMNS('Almonds Margin - Baseline'!$A34:$BH34),0)</f>
        <v>26677.905466945438</v>
      </c>
      <c r="G28" s="28">
        <f>+VLOOKUP($A28,'Almonds Margin - Baseline'!$A$5:$BL$39,COLUMNS('Almonds Margin - Baseline'!$A34:$BJ34),0)</f>
        <v>6943.2878525900996</v>
      </c>
      <c r="H28" s="166">
        <f>+VLOOKUP($A28,'Almonds Margin - Baseline'!$A$5:$BL$39,COLUMNS('Almonds Margin - Baseline'!$A34:$BL34),0)</f>
        <v>1.6680962016094545</v>
      </c>
      <c r="I28" s="34">
        <f>+VLOOKUP($A28,'Almonds Margin - Alternative'!$A$7:$BT$41,COLUMNS('Almonds Margin - Alternative'!$A36:$D36),0)</f>
        <v>13556.932790135299</v>
      </c>
      <c r="J28" s="34">
        <f t="shared" si="2"/>
        <v>13.556932790135299</v>
      </c>
      <c r="K28" s="28">
        <f>'Almonds Margin - Alternative'!H31</f>
        <v>2.48</v>
      </c>
      <c r="L28" s="28">
        <f>+VLOOKUP($A28,'Almonds Margin - Alternative'!$A$7:$BT$41,COLUMNS('Almonds Margin - Alternative'!$A36:$K36),0)</f>
        <v>33621.193319535538</v>
      </c>
      <c r="M28" s="28">
        <f>+VLOOKUP($A28,'Almonds Margin - Alternative'!$A$7:$BT$41,COLUMNS('Almonds Margin - Alternative'!$A36:$BO36),0)</f>
        <v>26677.905466945438</v>
      </c>
      <c r="N28" s="28">
        <f>+VLOOKUP($A28,'Almonds Margin - Alternative'!$A$7:$BT$41,COLUMNS('Almonds Margin - Alternative'!$A36:$BR36),0)</f>
        <v>6943.2878525900996</v>
      </c>
      <c r="O28" s="158">
        <f>+VLOOKUP($A28,'Almonds Margin - Alternative'!$A$7:$CA$41,COLUMNS('Almonds Margin - Alternative'!$A36:$BU36),0)</f>
        <v>1.6680962016094545</v>
      </c>
      <c r="P28" s="28">
        <f>+VLOOKUP($A28,'Almonds Margin - Alter.Ex.Rate'!$A$7:$BL$41,COLUMNS('Almonds Margin - Alter.Ex.Rate'!$A36:$BJ36),0)</f>
        <v>11855.249687409098</v>
      </c>
      <c r="Q28" s="34">
        <f>+VLOOKUP($A28,'Almonds Margin - Alter.Ex.Rate'!$A$7:$BL$41,COLUMNS('Almonds Margin - Alter.Ex.Rate'!$A36:$BL36),0)</f>
        <v>1.4825948876758781</v>
      </c>
      <c r="R28" s="34">
        <f>+VLOOKUP($A28,'Almonds Margin - Baseline'!$A$5:$BL$39,COLUMNS( 'Almonds Margin - Baseline'!$A34:$B34),0)</f>
        <v>13556.932790135299</v>
      </c>
      <c r="S28" s="28">
        <f>+VLOOKUP($A28,'Almonds Margin - Baseline'!$A$5:$BL$39,COLUMNS('Almonds Margin - Baseline'!$A34:$D34),0)</f>
        <v>2.48</v>
      </c>
      <c r="T28" s="28">
        <f>+VLOOKUP($A28,'Almonds Margin - Baseline'!$A$5:$BL$39,COLUMNS('Almonds Margin - Baseline'!$A34:$F34),0)</f>
        <v>33621.193319535538</v>
      </c>
      <c r="U28" s="28" t="e">
        <f>+VLOOKUP($A28,#REF!,COLUMNS(#REF!),0)</f>
        <v>#REF!</v>
      </c>
      <c r="V28" s="62">
        <f>+VLOOKUP($A28,'Grapes Margin - Baseline'!$A$7:$BC$41,COLUMNS('Grapes Margin - Baseline'!$A33:$C33),0)</f>
        <v>6257.0459031393648</v>
      </c>
      <c r="W28" s="104">
        <f>'Grapes Margin - Baseline'!F31</f>
        <v>15.4</v>
      </c>
      <c r="X28" s="62">
        <f>VLOOKUP($A28,'Grapes Margin - Baseline'!$A$7:$BC$41,COLUMNS('Grapes Margin - Baseline'!$A31:$I31),0)</f>
        <v>96358.506908346215</v>
      </c>
      <c r="Y28" s="62">
        <f>VLOOKUP($A28,'Grapes Margin - Baseline'!$A$7:$CA$41,COLUMNS('Grapes Margin - Baseline'!$A31:$BD31),0)</f>
        <v>35539.440861460171</v>
      </c>
      <c r="Z28" s="62">
        <f>+VLOOKUP($A28,'Grapes Margin - Baseline'!$A$7:$CA$41,COLUMNS('Grapes Margin - Baseline'!$A31:$BF31),0)</f>
        <v>60819.066046886044</v>
      </c>
      <c r="AA28" s="64">
        <f>+VLOOKUP($A28,'Grapes Margin - Baseline'!$A$7:$CA$41,COLUMNS('Grapes Margin - Baseline'!$A31:$BH31),0)</f>
        <v>5.4272303402566733</v>
      </c>
      <c r="AB28" s="62">
        <f>+VLOOKUP($A28,'Grapes Margin - Alternative'!$A$7:$BY$41,COLUMNS('Grapes Margin - Alternative'!$A31:$C31),0)</f>
        <v>6257.0459031393648</v>
      </c>
      <c r="AC28" s="62">
        <f>'Grapes Margin - Alternative'!F31</f>
        <v>15.4</v>
      </c>
      <c r="AD28" s="62">
        <f>VLOOKUP($A28,'Grapes Margin - Alternative'!$A$7:$BB$41,COLUMNS('Grapes Margin - Alternative'!$A31:$J31),0)</f>
        <v>96358.506908346215</v>
      </c>
      <c r="AE28" s="62">
        <f>VLOOKUP($A28,'Grapes Margin - Alternative'!$A$7:$BY$41,COLUMNS('Grapes Margin - Alternative'!$A31:$BF31),0)</f>
        <v>35540.027734092189</v>
      </c>
      <c r="AF28" s="62">
        <f>VLOOKUP($A28,'Grapes Margin - Alternative'!$A$7:$BY$41,COLUMNS('Grapes Margin - Alternative'!$A31:$BI31),0)</f>
        <v>60818.479174254026</v>
      </c>
      <c r="AG28" s="64">
        <f>+VLOOKUP($A28,'Grapes Margin - Alternative'!$A$7:$BY$41,COLUMNS('Grapes Margin - Alternative'!$A31:$BL31),0)</f>
        <v>5.4273265967155231</v>
      </c>
      <c r="AH28" s="62">
        <f>+VLOOKUP($A28,'Citrus Margin ORAG - Baseline'!$A$7:$BC$41,COLUMNS('Citrus Margin ORAG - Baseline'!$A31:$C31),0)</f>
        <v>1042.840983856561</v>
      </c>
      <c r="AI28" s="104">
        <f>+VLOOKUP($A28,'Citrus Margin ORAG - Baseline'!$A$7:$BC$41,COLUMNS('Citrus Margin ORAG - Baseline'!$A31:$F31),0)</f>
        <v>40</v>
      </c>
      <c r="AJ28" s="62">
        <f>VLOOKUP($A28,'Citrus Margin ORAG - Baseline'!$A$7:$BC$41,COLUMNS('Citrus Margin ORAG - Baseline'!$A31:$I31),0)</f>
        <v>41713.639354262443</v>
      </c>
      <c r="AK28" s="62">
        <f>VLOOKUP($A28,'Citrus Margin ORAG - Baseline'!$A$7:$BC$41,COLUMNS('Citrus Margin ORAG - Baseline'!$A31:$AY31),0)</f>
        <v>26861.327817993981</v>
      </c>
      <c r="AL28" s="62">
        <f>+VLOOKUP($A28,'Citrus Margin ORAG - Baseline'!$A$7:$BC$41,COLUMNS('Citrus Margin ORAG - Baseline'!$A31:$BA31),0)</f>
        <v>14852.311536268462</v>
      </c>
      <c r="AM28" s="64">
        <f>+VLOOKUP($A28,'Citrus Margin ORAG - Baseline'!$A$7:$BC$41,COLUMNS('Citrus Margin ORAG - Baseline'!$A31:$BC31),0)</f>
        <v>24.777360563661802</v>
      </c>
      <c r="AN28" s="62">
        <f>+VLOOKUP($A28,'Citrus Margin ORAG- Alternative'!$A$7:$BW$41,COLUMNS('Citrus Margin ORAG- Alternative'!$A31:$E31),0)</f>
        <v>1042.840983856561</v>
      </c>
      <c r="AO28" s="62">
        <f>'Citrus Margin ORAG- Alternative'!H31</f>
        <v>40</v>
      </c>
      <c r="AP28" s="62">
        <f>VLOOKUP($A28,'Citrus Margin ORAG- Alternative'!$A$7:$BB$41,COLUMNS('Citrus Margin ORAG- Alternative'!$A31:$J31),0)</f>
        <v>41713.639354262443</v>
      </c>
      <c r="AQ28" s="62">
        <f>VLOOKUP($A28,'Citrus Margin ORAG- Alternative'!$A$7:$CA$41,COLUMNS('Citrus Margin ORAG- Alternative'!$A31:BA31),0)</f>
        <v>26861.327817993981</v>
      </c>
      <c r="AR28" s="62">
        <f>VLOOKUP($A28,'Citrus Margin ORAG- Alternative'!$A$7:$BW$41,COLUMNS('Citrus Margin ORAG- Alternative'!$A31:$BD31),0)</f>
        <v>14852.311536268462</v>
      </c>
      <c r="AS28" s="64">
        <f>+VLOOKUP($A28,'Citrus Margin ORAG- Alternative'!$A$7:$BW$41,COLUMNS('Citrus Margin ORAG- Alternative'!$A31:$BG31),0)</f>
        <v>24.777360563661802</v>
      </c>
      <c r="AU28" s="62">
        <f>+VLOOKUP($A28,'Citrus Margin MAND - Baseline'!$A$7:$CA$41,COLUMNS('Citrus Margin MAND - Baseline'!$A31:$C31),0)</f>
        <v>1459.977377399186</v>
      </c>
      <c r="AV28" s="104">
        <f>+VLOOKUP($A28,'Citrus Margin MAND - Baseline'!$A$7:$CA$41,COLUMNS('Citrus Margin MAND - Baseline'!$A31:$F31),0)</f>
        <v>45</v>
      </c>
      <c r="AW28" s="62">
        <f>VLOOKUP($A28,'Citrus Margin MAND - Baseline'!$A$7:$CA$41,COLUMNS('Citrus Margin MAND - Baseline'!$A31:$I31),0)</f>
        <v>65698.981982963378</v>
      </c>
      <c r="AX28" s="62">
        <f>VLOOKUP($A28,'Citrus Margin MAND - Baseline'!$A$7:$BC$41,COLUMNS('Citrus Margin MAND - Baseline'!$A31:$AY31),0)</f>
        <v>42531.922153388703</v>
      </c>
      <c r="AY28" s="62">
        <f>+VLOOKUP($A28,'Citrus Margin MAND - Baseline'!$A$7:$BC$41,COLUMNS('Citrus Margin MAND - Baseline'!$A31:$BA31),0)</f>
        <v>23167.059829574675</v>
      </c>
      <c r="AZ28" s="64">
        <f>+VLOOKUP($A28,'Citrus Margin MAND - Baseline'!$A$7:$BC$41,COLUMNS('Citrus Margin MAND - Baseline'!$A31:$BC31),0)</f>
        <v>28.38578320366129</v>
      </c>
      <c r="BA28" s="62">
        <f>+VLOOKUP($A28,'Citrus Margin MAND- Alternative'!$A$7:$BX$41,COLUMNS('Citrus Margin MAND- Alternative'!$A31:$C31),0)</f>
        <v>1459.977377399186</v>
      </c>
      <c r="BB28" s="62">
        <f>'Citrus Margin MAND- Alternative'!F31</f>
        <v>45</v>
      </c>
      <c r="BC28" s="62">
        <f>VLOOKUP($A28,'Citrus Margin MAND- Alternative'!$A$7:$BC$41,COLUMNS('Citrus Margin MAND- Alternative'!$A31:$I31),0)</f>
        <v>65698.981982963378</v>
      </c>
      <c r="BD28" s="62">
        <f>VLOOKUP($A28,'Citrus Margin MAND- Alternative'!$A$7:$BC$41,COLUMNS('Citrus Margin MAND- Alternative'!$A31:$AZ31),0)</f>
        <v>42531.922153388703</v>
      </c>
      <c r="BE28" s="62">
        <f>VLOOKUP($A28,'Citrus Margin MAND- Alternative'!$A$7:$BX$41,COLUMNS('Citrus Margin MAND- Alternative'!$A31:$BC31),0)</f>
        <v>23167.059829574675</v>
      </c>
      <c r="BF28" s="64">
        <f>+VLOOKUP($A28,'Citrus Margin MAND- Alternative'!$A$7:$BX$41,COLUMNS('Citrus Margin MAND- Alternative'!$A31:$BF31),0)</f>
        <v>28.38578320366129</v>
      </c>
    </row>
    <row r="29" spans="1:58" x14ac:dyDescent="0.2">
      <c r="A29" s="8">
        <f t="shared" si="0"/>
        <v>2046</v>
      </c>
      <c r="B29" s="34">
        <f>+VLOOKUP($A29,'Almonds Margin - Baseline'!$A$5:$BL$39,COLUMNS('Almonds Margin - Baseline'!$A35:$B35),0)</f>
        <v>13990.754639419629</v>
      </c>
      <c r="C29" s="34">
        <f t="shared" si="1"/>
        <v>13.990754639419629</v>
      </c>
      <c r="D29" s="28">
        <f>+VLOOKUP($A29,'Almonds Margin - Baseline'!$A$5:$BL$39,COLUMNS('Almonds Margin - Baseline'!$A35:$D35),0)</f>
        <v>2.48</v>
      </c>
      <c r="E29" s="28">
        <f>+VLOOKUP($A29,'Almonds Margin - Baseline'!$A$5:$BL$39,COLUMNS('Almonds Margin - Baseline'!$A35:$F35),0)</f>
        <v>34697.071505760679</v>
      </c>
      <c r="F29" s="28">
        <f>+VLOOKUP($A29,'Almonds Margin - Baseline'!$A$5:$BL$39,COLUMNS('Almonds Margin - Baseline'!$A35:$BH35),0)</f>
        <v>27460.980139657127</v>
      </c>
      <c r="G29" s="28">
        <f>+VLOOKUP($A29,'Almonds Margin - Baseline'!$A$5:$BL$39,COLUMNS('Almonds Margin - Baseline'!$A35:$BJ35),0)</f>
        <v>7236.091366103552</v>
      </c>
      <c r="H29" s="166">
        <f>+VLOOKUP($A29,'Almonds Margin - Baseline'!$A$5:$BL$39,COLUMNS('Almonds Margin - Baseline'!$A35:$BL35),0)</f>
        <v>1.6631336609563543</v>
      </c>
      <c r="I29" s="34">
        <f>+VLOOKUP($A29,'Almonds Margin - Alternative'!$A$7:$BT$41,COLUMNS('Almonds Margin - Alternative'!$A37:$D37),0)</f>
        <v>13990.754639419629</v>
      </c>
      <c r="J29" s="34">
        <f t="shared" si="2"/>
        <v>13.990754639419629</v>
      </c>
      <c r="K29" s="28">
        <f>'Almonds Margin - Alternative'!H32</f>
        <v>2.48</v>
      </c>
      <c r="L29" s="28">
        <f>+VLOOKUP($A29,'Almonds Margin - Alternative'!$A$7:$BT$41,COLUMNS('Almonds Margin - Alternative'!$A37:$K37),0)</f>
        <v>34697.071505760679</v>
      </c>
      <c r="M29" s="28">
        <f>+VLOOKUP($A29,'Almonds Margin - Alternative'!$A$7:$BT$41,COLUMNS('Almonds Margin - Alternative'!$A37:$BO37),0)</f>
        <v>27460.980139657127</v>
      </c>
      <c r="N29" s="28">
        <f>+VLOOKUP($A29,'Almonds Margin - Alternative'!$A$7:$BT$41,COLUMNS('Almonds Margin - Alternative'!$A37:$BR37),0)</f>
        <v>7236.091366103552</v>
      </c>
      <c r="O29" s="158">
        <f>+VLOOKUP($A29,'Almonds Margin - Alternative'!$A$7:$CA$41,COLUMNS('Almonds Margin - Alternative'!$A37:$BU37),0)</f>
        <v>1.6631336609563543</v>
      </c>
      <c r="P29" s="28">
        <f>+VLOOKUP($A29,'Almonds Margin - Alter.Ex.Rate'!$A$7:$BL$41,COLUMNS('Almonds Margin - Alter.Ex.Rate'!$A37:$BJ37),0)</f>
        <v>12500.447492647076</v>
      </c>
      <c r="Q29" s="34">
        <f>+VLOOKUP($A29,'Almonds Margin - Alter.Ex.Rate'!$A$7:$BL$41,COLUMNS('Almonds Margin - Alter.Ex.Rate'!$A37:$BL37),0)</f>
        <v>1.4611042087898882</v>
      </c>
      <c r="R29" s="34">
        <f>+VLOOKUP($A29,'Almonds Margin - Baseline'!$A$5:$BL$39,COLUMNS( 'Almonds Margin - Baseline'!$A35:$B35),0)</f>
        <v>13990.754639419629</v>
      </c>
      <c r="S29" s="28">
        <f>+VLOOKUP($A29,'Almonds Margin - Baseline'!$A$5:$BL$39,COLUMNS('Almonds Margin - Baseline'!$A35:$D35),0)</f>
        <v>2.48</v>
      </c>
      <c r="T29" s="28">
        <f>+VLOOKUP($A29,'Almonds Margin - Baseline'!$A$5:$BL$39,COLUMNS('Almonds Margin - Baseline'!$A35:$F35),0)</f>
        <v>34697.071505760679</v>
      </c>
      <c r="U29" s="28" t="e">
        <f>+VLOOKUP($A29,#REF!,COLUMNS(#REF!),0)</f>
        <v>#REF!</v>
      </c>
      <c r="V29" s="62">
        <f>+VLOOKUP($A29,'Grapes Margin - Baseline'!$A$7:$BC$41,COLUMNS('Grapes Margin - Baseline'!$A34:$C34),0)</f>
        <v>6457.2713720398242</v>
      </c>
      <c r="W29" s="104">
        <f>'Grapes Margin - Baseline'!F32</f>
        <v>15.4</v>
      </c>
      <c r="X29" s="62">
        <f>VLOOKUP($A29,'Grapes Margin - Baseline'!$A$7:$BC$41,COLUMNS('Grapes Margin - Baseline'!$A32:$I32),0)</f>
        <v>99441.979129413288</v>
      </c>
      <c r="Y29" s="62">
        <f>VLOOKUP($A29,'Grapes Margin - Baseline'!$A$7:$CA$41,COLUMNS('Grapes Margin - Baseline'!$A32:$BD32),0)</f>
        <v>36631.652353436984</v>
      </c>
      <c r="Z29" s="62">
        <f>+VLOOKUP($A29,'Grapes Margin - Baseline'!$A$7:$CA$41,COLUMNS('Grapes Margin - Baseline'!$A32:$BF32),0)</f>
        <v>62810.326775976304</v>
      </c>
      <c r="AA29" s="64">
        <f>+VLOOKUP($A29,'Grapes Margin - Baseline'!$A$7:$CA$41,COLUMNS('Grapes Margin - Baseline'!$A32:$BH32),0)</f>
        <v>5.4205504023515392</v>
      </c>
      <c r="AB29" s="62">
        <f>+VLOOKUP($A29,'Grapes Margin - Alternative'!$A$7:$BY$41,COLUMNS('Grapes Margin - Alternative'!$A32:$C32),0)</f>
        <v>6457.2713720398242</v>
      </c>
      <c r="AC29" s="62">
        <f>'Grapes Margin - Alternative'!F32</f>
        <v>15.4</v>
      </c>
      <c r="AD29" s="62">
        <f>VLOOKUP($A29,'Grapes Margin - Alternative'!$A$7:$BB$41,COLUMNS('Grapes Margin - Alternative'!$A32:$J32),0)</f>
        <v>99441.979129413288</v>
      </c>
      <c r="AE29" s="62">
        <f>VLOOKUP($A29,'Grapes Margin - Alternative'!$A$7:$BY$41,COLUMNS('Grapes Margin - Alternative'!$A32:$BF32),0)</f>
        <v>36632.248058237295</v>
      </c>
      <c r="AF29" s="62">
        <f>VLOOKUP($A29,'Grapes Margin - Alternative'!$A$7:$BY$41,COLUMNS('Grapes Margin - Alternative'!$A32:$BI32),0)</f>
        <v>62809.731071175993</v>
      </c>
      <c r="AG29" s="64">
        <f>+VLOOKUP($A29,'Grapes Margin - Alternative'!$A$7:$BY$41,COLUMNS('Grapes Margin - Alternative'!$A32:$BL32),0)</f>
        <v>5.4206450725157538</v>
      </c>
      <c r="AH29" s="62">
        <f>+VLOOKUP($A29,'Citrus Margin ORAG - Baseline'!$A$7:$BC$41,COLUMNS('Citrus Margin ORAG - Baseline'!$A32:$C32),0)</f>
        <v>1076.2118953399709</v>
      </c>
      <c r="AI29" s="104">
        <f>+VLOOKUP($A29,'Citrus Margin ORAG - Baseline'!$A$7:$BC$41,COLUMNS('Citrus Margin ORAG - Baseline'!$A32:$F32),0)</f>
        <v>40</v>
      </c>
      <c r="AJ29" s="62">
        <f>VLOOKUP($A29,'Citrus Margin ORAG - Baseline'!$A$7:$BC$41,COLUMNS('Citrus Margin ORAG - Baseline'!$A32:$I32),0)</f>
        <v>43048.475813598838</v>
      </c>
      <c r="AK29" s="62">
        <f>VLOOKUP($A29,'Citrus Margin ORAG - Baseline'!$A$7:$BC$41,COLUMNS('Citrus Margin ORAG - Baseline'!$A32:$AY32),0)</f>
        <v>27666.400165917024</v>
      </c>
      <c r="AL29" s="62">
        <f>+VLOOKUP($A29,'Citrus Margin ORAG - Baseline'!$A$7:$BC$41,COLUMNS('Citrus Margin ORAG - Baseline'!$A32:$BA32),0)</f>
        <v>15382.075647681813</v>
      </c>
      <c r="AM29" s="64">
        <f>+VLOOKUP($A29,'Citrus Margin ORAG - Baseline'!$A$7:$BC$41,COLUMNS('Citrus Margin ORAG - Baseline'!$A32:$BC32),0)</f>
        <v>24.730647831010049</v>
      </c>
      <c r="AN29" s="62">
        <f>+VLOOKUP($A29,'Citrus Margin ORAG- Alternative'!$A$7:$BW$41,COLUMNS('Citrus Margin ORAG- Alternative'!$A32:$E32),0)</f>
        <v>1076.2118953399709</v>
      </c>
      <c r="AO29" s="62">
        <f>'Citrus Margin ORAG- Alternative'!H32</f>
        <v>40</v>
      </c>
      <c r="AP29" s="62">
        <f>VLOOKUP($A29,'Citrus Margin ORAG- Alternative'!$A$7:$BB$41,COLUMNS('Citrus Margin ORAG- Alternative'!$A32:$J32),0)</f>
        <v>43048.475813598838</v>
      </c>
      <c r="AQ29" s="62">
        <f>VLOOKUP($A29,'Citrus Margin ORAG- Alternative'!$A$7:$CA$41,COLUMNS('Citrus Margin ORAG- Alternative'!$A32:BA32),0)</f>
        <v>27666.400165917024</v>
      </c>
      <c r="AR29" s="62">
        <f>VLOOKUP($A29,'Citrus Margin ORAG- Alternative'!$A$7:$BW$41,COLUMNS('Citrus Margin ORAG- Alternative'!$A32:$BD32),0)</f>
        <v>15382.075647681813</v>
      </c>
      <c r="AS29" s="64">
        <f>+VLOOKUP($A29,'Citrus Margin ORAG- Alternative'!$A$7:$BW$41,COLUMNS('Citrus Margin ORAG- Alternative'!$A32:$BG32),0)</f>
        <v>24.730647831010049</v>
      </c>
      <c r="AU29" s="62">
        <f>+VLOOKUP($A29,'Citrus Margin MAND - Baseline'!$A$7:$CA$41,COLUMNS('Citrus Margin MAND - Baseline'!$A32:$C32),0)</f>
        <v>1506.6966534759599</v>
      </c>
      <c r="AV29" s="104">
        <f>+VLOOKUP($A29,'Citrus Margin MAND - Baseline'!$A$7:$CA$41,COLUMNS('Citrus Margin MAND - Baseline'!$A32:$F32),0)</f>
        <v>45</v>
      </c>
      <c r="AW29" s="62">
        <f>VLOOKUP($A29,'Citrus Margin MAND - Baseline'!$A$7:$CA$41,COLUMNS('Citrus Margin MAND - Baseline'!$A32:$I32),0)</f>
        <v>67801.349406418201</v>
      </c>
      <c r="AX29" s="62">
        <f>VLOOKUP($A29,'Citrus Margin MAND - Baseline'!$A$7:$BC$41,COLUMNS('Citrus Margin MAND - Baseline'!$A32:$AY32),0)</f>
        <v>43839.084279985778</v>
      </c>
      <c r="AY29" s="62">
        <f>+VLOOKUP($A29,'Citrus Margin MAND - Baseline'!$A$7:$BC$41,COLUMNS('Citrus Margin MAND - Baseline'!$A32:$BA32),0)</f>
        <v>23962.265126432423</v>
      </c>
      <c r="AZ29" s="64">
        <f>+VLOOKUP($A29,'Citrus Margin MAND - Baseline'!$A$7:$BC$41,COLUMNS('Citrus Margin MAND - Baseline'!$A32:$BC32),0)</f>
        <v>28.353196776241589</v>
      </c>
      <c r="BA29" s="62">
        <f>+VLOOKUP($A29,'Citrus Margin MAND- Alternative'!$A$7:$BX$41,COLUMNS('Citrus Margin MAND- Alternative'!$A32:$C32),0)</f>
        <v>1506.6966534759599</v>
      </c>
      <c r="BB29" s="62">
        <f>'Citrus Margin MAND- Alternative'!F32</f>
        <v>45</v>
      </c>
      <c r="BC29" s="62">
        <f>VLOOKUP($A29,'Citrus Margin MAND- Alternative'!$A$7:$BC$41,COLUMNS('Citrus Margin MAND- Alternative'!$A32:$I32),0)</f>
        <v>67801.349406418201</v>
      </c>
      <c r="BD29" s="62">
        <f>VLOOKUP($A29,'Citrus Margin MAND- Alternative'!$A$7:$BC$41,COLUMNS('Citrus Margin MAND- Alternative'!$A32:$AZ32),0)</f>
        <v>43839.084279985778</v>
      </c>
      <c r="BE29" s="62">
        <f>VLOOKUP($A29,'Citrus Margin MAND- Alternative'!$A$7:$BX$41,COLUMNS('Citrus Margin MAND- Alternative'!$A32:$BC32),0)</f>
        <v>23962.265126432423</v>
      </c>
      <c r="BF29" s="64">
        <f>+VLOOKUP($A29,'Citrus Margin MAND- Alternative'!$A$7:$BX$41,COLUMNS('Citrus Margin MAND- Alternative'!$A32:$BF32),0)</f>
        <v>28.353196776241589</v>
      </c>
    </row>
    <row r="30" spans="1:58" x14ac:dyDescent="0.2">
      <c r="A30" s="8">
        <f t="shared" si="0"/>
        <v>2047</v>
      </c>
      <c r="B30" s="34">
        <f>+VLOOKUP($A30,'Almonds Margin - Baseline'!$A$5:$BL$39,COLUMNS('Almonds Margin - Baseline'!$A36:$B36),0)</f>
        <v>14438.458787881058</v>
      </c>
      <c r="C30" s="34">
        <f t="shared" si="1"/>
        <v>14.438458787881059</v>
      </c>
      <c r="D30" s="28">
        <f>+VLOOKUP($A30,'Almonds Margin - Baseline'!$A$5:$BL$39,COLUMNS('Almonds Margin - Baseline'!$A36:$D36),0)</f>
        <v>2.48</v>
      </c>
      <c r="E30" s="28">
        <f>+VLOOKUP($A30,'Almonds Margin - Baseline'!$A$5:$BL$39,COLUMNS('Almonds Margin - Baseline'!$A36:$F36),0)</f>
        <v>35807.377793945023</v>
      </c>
      <c r="F30" s="28">
        <f>+VLOOKUP($A30,'Almonds Margin - Baseline'!$A$5:$BL$39,COLUMNS('Almonds Margin - Baseline'!$A36:$BH36),0)</f>
        <v>28270.524837943507</v>
      </c>
      <c r="G30" s="28">
        <f>+VLOOKUP($A30,'Almonds Margin - Baseline'!$A$5:$BL$39,COLUMNS('Almonds Margin - Baseline'!$A36:$BJ36),0)</f>
        <v>7536.8529560015158</v>
      </c>
      <c r="H30" s="166">
        <f>+VLOOKUP($A30,'Almonds Margin - Baseline'!$A$5:$BL$39,COLUMNS('Almonds Margin - Baseline'!$A36:$BL36),0)</f>
        <v>1.6584228810991029</v>
      </c>
      <c r="I30" s="34">
        <f>+VLOOKUP($A30,'Almonds Margin - Alternative'!$A$7:$BT$41,COLUMNS('Almonds Margin - Alternative'!$A38:$D38),0)</f>
        <v>14438.458787881058</v>
      </c>
      <c r="J30" s="34">
        <f t="shared" si="2"/>
        <v>14.438458787881059</v>
      </c>
      <c r="K30" s="28">
        <f>'Almonds Margin - Alternative'!H33</f>
        <v>2.48</v>
      </c>
      <c r="L30" s="28">
        <f>+VLOOKUP($A30,'Almonds Margin - Alternative'!$A$7:$BT$41,COLUMNS('Almonds Margin - Alternative'!$A38:$K38),0)</f>
        <v>35807.377793945023</v>
      </c>
      <c r="M30" s="28">
        <f>+VLOOKUP($A30,'Almonds Margin - Alternative'!$A$7:$BT$41,COLUMNS('Almonds Margin - Alternative'!$A38:$BO38),0)</f>
        <v>28270.524837943507</v>
      </c>
      <c r="N30" s="28">
        <f>+VLOOKUP($A30,'Almonds Margin - Alternative'!$A$7:$BT$41,COLUMNS('Almonds Margin - Alternative'!$A38:$BR38),0)</f>
        <v>7536.8529560015158</v>
      </c>
      <c r="O30" s="158">
        <f>+VLOOKUP($A30,'Almonds Margin - Alternative'!$A$7:$CA$41,COLUMNS('Almonds Margin - Alternative'!$A38:$BU38),0)</f>
        <v>1.6584228810991029</v>
      </c>
      <c r="P30" s="28">
        <f>+VLOOKUP($A30,'Almonds Margin - Alter.Ex.Rate'!$A$7:$BL$41,COLUMNS('Almonds Margin - Alter.Ex.Rate'!$A38:$BJ38),0)</f>
        <v>13168.675678714084</v>
      </c>
      <c r="Q30" s="34">
        <f>+VLOOKUP($A30,'Almonds Margin - Alter.Ex.Rate'!$A$7:$BL$41,COLUMNS('Almonds Margin - Alter.Ex.Rate'!$A38:$BL38),0)</f>
        <v>1.4400925352086544</v>
      </c>
      <c r="R30" s="34">
        <f>+VLOOKUP($A30,'Almonds Margin - Baseline'!$A$5:$BL$39,COLUMNS( 'Almonds Margin - Baseline'!$A36:$B36),0)</f>
        <v>14438.458787881058</v>
      </c>
      <c r="S30" s="28">
        <f>+VLOOKUP($A30,'Almonds Margin - Baseline'!$A$5:$BL$39,COLUMNS('Almonds Margin - Baseline'!$A36:$D36),0)</f>
        <v>2.48</v>
      </c>
      <c r="T30" s="28">
        <f>+VLOOKUP($A30,'Almonds Margin - Baseline'!$A$5:$BL$39,COLUMNS('Almonds Margin - Baseline'!$A36:$F36),0)</f>
        <v>35807.377793945023</v>
      </c>
      <c r="U30" s="28" t="e">
        <f>+VLOOKUP($A30,#REF!,COLUMNS(#REF!),0)</f>
        <v>#REF!</v>
      </c>
      <c r="V30" s="62">
        <f>+VLOOKUP($A30,'Grapes Margin - Baseline'!$A$7:$BC$41,COLUMNS('Grapes Margin - Baseline'!$A35:$C35),0)</f>
        <v>6663.9040559450996</v>
      </c>
      <c r="W30" s="104">
        <f>'Grapes Margin - Baseline'!F33</f>
        <v>15.4</v>
      </c>
      <c r="X30" s="62">
        <f>VLOOKUP($A30,'Grapes Margin - Baseline'!$A$7:$BC$41,COLUMNS('Grapes Margin - Baseline'!$A33:$I33),0)</f>
        <v>102624.12246155454</v>
      </c>
      <c r="Y30" s="62">
        <f>VLOOKUP($A30,'Grapes Margin - Baseline'!$A$7:$CA$41,COLUMNS('Grapes Margin - Baseline'!$A33:$BD33),0)</f>
        <v>37759.631335883751</v>
      </c>
      <c r="Z30" s="62">
        <f>+VLOOKUP($A30,'Grapes Margin - Baseline'!$A$7:$CA$41,COLUMNS('Grapes Margin - Baseline'!$A33:$BF33),0)</f>
        <v>64864.491125670786</v>
      </c>
      <c r="AA30" s="64">
        <f>+VLOOKUP($A30,'Grapes Margin - Baseline'!$A$7:$CA$41,COLUMNS('Grapes Margin - Baseline'!$A33:$BH33),0)</f>
        <v>5.4142040703769396</v>
      </c>
      <c r="AB30" s="62">
        <f>+VLOOKUP($A30,'Grapes Margin - Alternative'!$A$7:$BY$41,COLUMNS('Grapes Margin - Alternative'!$A33:$C33),0)</f>
        <v>6663.9040559450996</v>
      </c>
      <c r="AC30" s="62">
        <f>'Grapes Margin - Alternative'!F33</f>
        <v>15.4</v>
      </c>
      <c r="AD30" s="62">
        <f>VLOOKUP($A30,'Grapes Margin - Alternative'!$A$7:$BB$41,COLUMNS('Grapes Margin - Alternative'!$A33:$J33),0)</f>
        <v>102624.12246155454</v>
      </c>
      <c r="AE30" s="62">
        <f>VLOOKUP($A30,'Grapes Margin - Alternative'!$A$7:$BY$41,COLUMNS('Grapes Margin - Alternative'!$A33:$BF33),0)</f>
        <v>37760.23635797498</v>
      </c>
      <c r="AF30" s="62">
        <f>VLOOKUP($A30,'Grapes Margin - Alternative'!$A$7:$BY$41,COLUMNS('Grapes Margin - Alternative'!$A33:$BI33),0)</f>
        <v>64863.886103579556</v>
      </c>
      <c r="AG30" s="64">
        <f>+VLOOKUP($A30,'Grapes Margin - Alternative'!$A$7:$BY$41,COLUMNS('Grapes Margin - Alternative'!$A33:$BL33),0)</f>
        <v>5.4142972347841978</v>
      </c>
      <c r="AH30" s="62">
        <f>+VLOOKUP($A30,'Citrus Margin ORAG - Baseline'!$A$7:$BC$41,COLUMNS('Citrus Margin ORAG - Baseline'!$A33:$C33),0)</f>
        <v>1110.65067599085</v>
      </c>
      <c r="AI30" s="104">
        <f>+VLOOKUP($A30,'Citrus Margin ORAG - Baseline'!$A$7:$BC$41,COLUMNS('Citrus Margin ORAG - Baseline'!$A33:$F33),0)</f>
        <v>40</v>
      </c>
      <c r="AJ30" s="62">
        <f>VLOOKUP($A30,'Citrus Margin ORAG - Baseline'!$A$7:$BC$41,COLUMNS('Citrus Margin ORAG - Baseline'!$A33:$I33),0)</f>
        <v>44426.027039633998</v>
      </c>
      <c r="AK30" s="62">
        <f>VLOOKUP($A30,'Citrus Margin ORAG - Baseline'!$A$7:$BC$41,COLUMNS('Citrus Margin ORAG - Baseline'!$A33:$AY33),0)</f>
        <v>28498.20591946728</v>
      </c>
      <c r="AL30" s="62">
        <f>+VLOOKUP($A30,'Citrus Margin ORAG - Baseline'!$A$7:$BC$41,COLUMNS('Citrus Margin ORAG - Baseline'!$A33:$BA33),0)</f>
        <v>15927.821120166718</v>
      </c>
      <c r="AM30" s="64">
        <f>+VLOOKUP($A30,'Citrus Margin ORAG - Baseline'!$A$7:$BC$41,COLUMNS('Citrus Margin ORAG - Baseline'!$A33:$BC33),0)</f>
        <v>24.686304939850945</v>
      </c>
      <c r="AN30" s="62">
        <f>+VLOOKUP($A30,'Citrus Margin ORAG- Alternative'!$A$7:$BW$41,COLUMNS('Citrus Margin ORAG- Alternative'!$A33:$E33),0)</f>
        <v>1110.65067599085</v>
      </c>
      <c r="AO30" s="62">
        <f>'Citrus Margin ORAG- Alternative'!H33</f>
        <v>40</v>
      </c>
      <c r="AP30" s="62">
        <f>VLOOKUP($A30,'Citrus Margin ORAG- Alternative'!$A$7:$BB$41,COLUMNS('Citrus Margin ORAG- Alternative'!$A33:$J33),0)</f>
        <v>44426.027039633998</v>
      </c>
      <c r="AQ30" s="62">
        <f>VLOOKUP($A30,'Citrus Margin ORAG- Alternative'!$A$7:$CA$41,COLUMNS('Citrus Margin ORAG- Alternative'!$A33:BA33),0)</f>
        <v>28498.20591946728</v>
      </c>
      <c r="AR30" s="62">
        <f>VLOOKUP($A30,'Citrus Margin ORAG- Alternative'!$A$7:$BW$41,COLUMNS('Citrus Margin ORAG- Alternative'!$A33:$BD33),0)</f>
        <v>15927.821120166718</v>
      </c>
      <c r="AS30" s="64">
        <f>+VLOOKUP($A30,'Citrus Margin ORAG- Alternative'!$A$7:$BW$41,COLUMNS('Citrus Margin ORAG- Alternative'!$A33:$BG33),0)</f>
        <v>24.686304939850945</v>
      </c>
      <c r="AU30" s="62">
        <f>+VLOOKUP($A30,'Citrus Margin MAND - Baseline'!$A$7:$CA$41,COLUMNS('Citrus Margin MAND - Baseline'!$A33:$C33),0)</f>
        <v>1554.9109463871907</v>
      </c>
      <c r="AV30" s="104">
        <f>+VLOOKUP($A30,'Citrus Margin MAND - Baseline'!$A$7:$CA$41,COLUMNS('Citrus Margin MAND - Baseline'!$A33:$F33),0)</f>
        <v>45</v>
      </c>
      <c r="AW30" s="62">
        <f>VLOOKUP($A30,'Citrus Margin MAND - Baseline'!$A$7:$CA$41,COLUMNS('Citrus Margin MAND - Baseline'!$A33:$I33),0)</f>
        <v>69970.992587423578</v>
      </c>
      <c r="AX30" s="62">
        <f>VLOOKUP($A30,'Citrus Margin MAND - Baseline'!$A$7:$BC$41,COLUMNS('Citrus Margin MAND - Baseline'!$A33:$AY33),0)</f>
        <v>45189.038568101823</v>
      </c>
      <c r="AY30" s="62">
        <f>+VLOOKUP($A30,'Citrus Margin MAND - Baseline'!$A$7:$BC$41,COLUMNS('Citrus Margin MAND - Baseline'!$A33:$BA33),0)</f>
        <v>24781.954019321754</v>
      </c>
      <c r="AZ30" s="64">
        <f>+VLOOKUP($A30,'Citrus Margin MAND - Baseline'!$A$7:$BC$41,COLUMNS('Citrus Margin MAND - Baseline'!$A33:$BC33),0)</f>
        <v>28.322263531228757</v>
      </c>
      <c r="BA30" s="62">
        <f>+VLOOKUP($A30,'Citrus Margin MAND- Alternative'!$A$7:$BX$41,COLUMNS('Citrus Margin MAND- Alternative'!$A33:$C33),0)</f>
        <v>1554.9109463871907</v>
      </c>
      <c r="BB30" s="62">
        <f>'Citrus Margin MAND- Alternative'!F33</f>
        <v>45</v>
      </c>
      <c r="BC30" s="62">
        <f>VLOOKUP($A30,'Citrus Margin MAND- Alternative'!$A$7:$BC$41,COLUMNS('Citrus Margin MAND- Alternative'!$A33:$I33),0)</f>
        <v>69970.992587423578</v>
      </c>
      <c r="BD30" s="62">
        <f>VLOOKUP($A30,'Citrus Margin MAND- Alternative'!$A$7:$BC$41,COLUMNS('Citrus Margin MAND- Alternative'!$A33:$AZ33),0)</f>
        <v>45189.038568101823</v>
      </c>
      <c r="BE30" s="62">
        <f>VLOOKUP($A30,'Citrus Margin MAND- Alternative'!$A$7:$BX$41,COLUMNS('Citrus Margin MAND- Alternative'!$A33:$BC33),0)</f>
        <v>24781.954019321754</v>
      </c>
      <c r="BF30" s="64">
        <f>+VLOOKUP($A30,'Citrus Margin MAND- Alternative'!$A$7:$BX$41,COLUMNS('Citrus Margin MAND- Alternative'!$A33:$BF33),0)</f>
        <v>28.322263531228757</v>
      </c>
    </row>
    <row r="31" spans="1:58" x14ac:dyDescent="0.2">
      <c r="A31" s="8">
        <f t="shared" si="0"/>
        <v>2048</v>
      </c>
      <c r="B31" s="34">
        <f>+VLOOKUP($A31,'Almonds Margin - Baseline'!$A$5:$BL$39,COLUMNS('Almonds Margin - Baseline'!$A37:$B37),0)</f>
        <v>14900.489469093251</v>
      </c>
      <c r="C31" s="34">
        <f t="shared" si="1"/>
        <v>14.90048946909325</v>
      </c>
      <c r="D31" s="28">
        <f>+VLOOKUP($A31,'Almonds Margin - Baseline'!$A$5:$BL$39,COLUMNS('Almonds Margin - Baseline'!$A37:$D37),0)</f>
        <v>2.48</v>
      </c>
      <c r="E31" s="28">
        <f>+VLOOKUP($A31,'Almonds Margin - Baseline'!$A$5:$BL$39,COLUMNS('Almonds Margin - Baseline'!$A37:$F37),0)</f>
        <v>36953.213883351258</v>
      </c>
      <c r="F31" s="28">
        <f>+VLOOKUP($A31,'Almonds Margin - Baseline'!$A$5:$BL$39,COLUMNS('Almonds Margin - Baseline'!$A37:$BH37),0)</f>
        <v>29106.118847182817</v>
      </c>
      <c r="G31" s="28">
        <f>+VLOOKUP($A31,'Almonds Margin - Baseline'!$A$5:$BL$39,COLUMNS('Almonds Margin - Baseline'!$A37:$BJ37),0)</f>
        <v>7847.0950361684409</v>
      </c>
      <c r="H31" s="166">
        <f>+VLOOKUP($A31,'Almonds Margin - Baseline'!$A$5:$BL$39,COLUMNS('Almonds Margin - Baseline'!$A37:$BL37),0)</f>
        <v>1.653867839333363</v>
      </c>
      <c r="I31" s="34">
        <f>+VLOOKUP($A31,'Almonds Margin - Alternative'!$A$7:$BT$41,COLUMNS('Almonds Margin - Alternative'!$A39:$D39),0)</f>
        <v>14900.489469093251</v>
      </c>
      <c r="J31" s="34">
        <f t="shared" si="2"/>
        <v>14.90048946909325</v>
      </c>
      <c r="K31" s="28">
        <f>'Almonds Margin - Alternative'!H34</f>
        <v>2.48</v>
      </c>
      <c r="L31" s="28">
        <f>+VLOOKUP($A31,'Almonds Margin - Alternative'!$A$7:$BT$41,COLUMNS('Almonds Margin - Alternative'!$A39:$K39),0)</f>
        <v>36953.213883351258</v>
      </c>
      <c r="M31" s="28">
        <f>+VLOOKUP($A31,'Almonds Margin - Alternative'!$A$7:$BT$41,COLUMNS('Almonds Margin - Alternative'!$A39:$BO39),0)</f>
        <v>29106.118847182817</v>
      </c>
      <c r="N31" s="28">
        <f>+VLOOKUP($A31,'Almonds Margin - Alternative'!$A$7:$BT$41,COLUMNS('Almonds Margin - Alternative'!$A39:$BR39),0)</f>
        <v>7847.0950361684409</v>
      </c>
      <c r="O31" s="158">
        <f>+VLOOKUP($A31,'Almonds Margin - Alternative'!$A$7:$CA$41,COLUMNS('Almonds Margin - Alternative'!$A39:$BU39),0)</f>
        <v>1.653867839333363</v>
      </c>
      <c r="P31" s="28">
        <f>+VLOOKUP($A31,'Almonds Margin - Alter.Ex.Rate'!$A$7:$BL$41,COLUMNS('Almonds Margin - Alter.Ex.Rate'!$A39:$BJ39),0)</f>
        <v>13860.709362613612</v>
      </c>
      <c r="Q31" s="34">
        <f>+VLOOKUP($A31,'Almonds Margin - Alter.Ex.Rate'!$A$7:$BL$41,COLUMNS('Almonds Margin - Alter.Ex.Rate'!$A39:$BL39),0)</f>
        <v>1.4195479165143201</v>
      </c>
      <c r="R31" s="34">
        <f>+VLOOKUP($A31,'Almonds Margin - Baseline'!$A$5:$BL$39,COLUMNS( 'Almonds Margin - Baseline'!$A37:$B37),0)</f>
        <v>14900.489469093251</v>
      </c>
      <c r="S31" s="28">
        <f>+VLOOKUP($A31,'Almonds Margin - Baseline'!$A$5:$BL$39,COLUMNS('Almonds Margin - Baseline'!$A37:$D37),0)</f>
        <v>2.48</v>
      </c>
      <c r="T31" s="28">
        <f>+VLOOKUP($A31,'Almonds Margin - Baseline'!$A$5:$BL$39,COLUMNS('Almonds Margin - Baseline'!$A37:$F37),0)</f>
        <v>36953.213883351258</v>
      </c>
      <c r="U31" s="28" t="e">
        <f>+VLOOKUP($A31,#REF!,COLUMNS(#REF!),0)</f>
        <v>#REF!</v>
      </c>
      <c r="V31" s="62">
        <f>+VLOOKUP($A31,'Grapes Margin - Baseline'!$A$7:$BC$41,COLUMNS('Grapes Margin - Baseline'!$A36:$C36),0)</f>
        <v>6877.1489857353426</v>
      </c>
      <c r="W31" s="104">
        <f>'Grapes Margin - Baseline'!F34</f>
        <v>15.4</v>
      </c>
      <c r="X31" s="62">
        <f>VLOOKUP($A31,'Grapes Margin - Baseline'!$A$7:$BC$41,COLUMNS('Grapes Margin - Baseline'!$A34:$I34),0)</f>
        <v>105908.09438032428</v>
      </c>
      <c r="Y31" s="62">
        <f>VLOOKUP($A31,'Grapes Margin - Baseline'!$A$7:$CA$41,COLUMNS('Grapes Margin - Baseline'!$A34:$BD34),0)</f>
        <v>38923.788890003387</v>
      </c>
      <c r="Z31" s="62">
        <f>+VLOOKUP($A31,'Grapes Margin - Baseline'!$A$7:$CA$41,COLUMNS('Grapes Margin - Baseline'!$A34:$BF34),0)</f>
        <v>66984.305490320898</v>
      </c>
      <c r="AA31" s="64">
        <f>+VLOOKUP($A31,'Grapes Margin - Baseline'!$A$7:$CA$41,COLUMNS('Grapes Margin - Baseline'!$A34:$BH34),0)</f>
        <v>5.4080676004179749</v>
      </c>
      <c r="AB31" s="62">
        <f>+VLOOKUP($A31,'Grapes Margin - Alternative'!$A$7:$BY$41,COLUMNS('Grapes Margin - Alternative'!$A34:$C34),0)</f>
        <v>6877.1489857353426</v>
      </c>
      <c r="AC31" s="62">
        <f>'Grapes Margin - Alternative'!F34</f>
        <v>15.4</v>
      </c>
      <c r="AD31" s="62">
        <f>VLOOKUP($A31,'Grapes Margin - Alternative'!$A$7:$BB$41,COLUMNS('Grapes Margin - Alternative'!$A34:$J34),0)</f>
        <v>105908.09438032428</v>
      </c>
      <c r="AE31" s="62">
        <f>VLOOKUP($A31,'Grapes Margin - Alternative'!$A$7:$BY$41,COLUMNS('Grapes Margin - Alternative'!$A34:$BF34),0)</f>
        <v>38924.403548177906</v>
      </c>
      <c r="AF31" s="62">
        <f>VLOOKUP($A31,'Grapes Margin - Alternative'!$A$7:$BY$41,COLUMNS('Grapes Margin - Alternative'!$A34:$BI34),0)</f>
        <v>66983.690832146385</v>
      </c>
      <c r="AG31" s="64">
        <f>+VLOOKUP($A31,'Grapes Margin - Alternative'!$A$7:$BY$41,COLUMNS('Grapes Margin - Alternative'!$A34:$BL34),0)</f>
        <v>5.4081593089935236</v>
      </c>
      <c r="AH31" s="62">
        <f>+VLOOKUP($A31,'Citrus Margin ORAG - Baseline'!$A$7:$BC$41,COLUMNS('Citrus Margin ORAG - Baseline'!$A34:$C34),0)</f>
        <v>1146.1914976225571</v>
      </c>
      <c r="AI31" s="104">
        <f>+VLOOKUP($A31,'Citrus Margin ORAG - Baseline'!$A$7:$BC$41,COLUMNS('Citrus Margin ORAG - Baseline'!$A34:$F34),0)</f>
        <v>40</v>
      </c>
      <c r="AJ31" s="62">
        <f>VLOOKUP($A31,'Citrus Margin ORAG - Baseline'!$A$7:$BC$41,COLUMNS('Citrus Margin ORAG - Baseline'!$A34:$I34),0)</f>
        <v>45847.659904902284</v>
      </c>
      <c r="AK31" s="62">
        <f>VLOOKUP($A31,'Citrus Margin ORAG - Baseline'!$A$7:$BC$41,COLUMNS('Citrus Margin ORAG - Baseline'!$A34:$AY34),0)</f>
        <v>29356.728435257017</v>
      </c>
      <c r="AL31" s="62">
        <f>+VLOOKUP($A31,'Citrus Margin ORAG - Baseline'!$A$7:$BC$41,COLUMNS('Citrus Margin ORAG - Baseline'!$A34:$BA34),0)</f>
        <v>16490.931469645267</v>
      </c>
      <c r="AM31" s="64">
        <f>+VLOOKUP($A31,'Citrus Margin ORAG - Baseline'!$A$7:$BC$41,COLUMNS('Citrus Margin ORAG - Baseline'!$A34:$BC34),0)</f>
        <v>24.643428021938412</v>
      </c>
      <c r="AN31" s="62">
        <f>+VLOOKUP($A31,'Citrus Margin ORAG- Alternative'!$A$7:$BW$41,COLUMNS('Citrus Margin ORAG- Alternative'!$A34:$E34),0)</f>
        <v>1146.1914976225571</v>
      </c>
      <c r="AO31" s="62">
        <f>'Citrus Margin ORAG- Alternative'!H34</f>
        <v>40</v>
      </c>
      <c r="AP31" s="62">
        <f>VLOOKUP($A31,'Citrus Margin ORAG- Alternative'!$A$7:$BB$41,COLUMNS('Citrus Margin ORAG- Alternative'!$A34:$J34),0)</f>
        <v>45847.659904902284</v>
      </c>
      <c r="AQ31" s="62">
        <f>VLOOKUP($A31,'Citrus Margin ORAG- Alternative'!$A$7:$CA$41,COLUMNS('Citrus Margin ORAG- Alternative'!$A34:BA34),0)</f>
        <v>29356.728435257017</v>
      </c>
      <c r="AR31" s="62">
        <f>VLOOKUP($A31,'Citrus Margin ORAG- Alternative'!$A$7:$BW$41,COLUMNS('Citrus Margin ORAG- Alternative'!$A34:$BD34),0)</f>
        <v>16490.931469645267</v>
      </c>
      <c r="AS31" s="64">
        <f>+VLOOKUP($A31,'Citrus Margin ORAG- Alternative'!$A$7:$BW$41,COLUMNS('Citrus Margin ORAG- Alternative'!$A34:$BG34),0)</f>
        <v>24.643428021938412</v>
      </c>
      <c r="AU31" s="62">
        <f>+VLOOKUP($A31,'Citrus Margin MAND - Baseline'!$A$7:$CA$41,COLUMNS('Citrus Margin MAND - Baseline'!$A34:$C34),0)</f>
        <v>1604.6680966715808</v>
      </c>
      <c r="AV31" s="104">
        <f>+VLOOKUP($A31,'Citrus Margin MAND - Baseline'!$A$7:$CA$41,COLUMNS('Citrus Margin MAND - Baseline'!$A34:$F34),0)</f>
        <v>45</v>
      </c>
      <c r="AW31" s="62">
        <f>VLOOKUP($A31,'Citrus Margin MAND - Baseline'!$A$7:$CA$41,COLUMNS('Citrus Margin MAND - Baseline'!$A34:$I34),0)</f>
        <v>72210.064350221131</v>
      </c>
      <c r="AX31" s="62">
        <f>VLOOKUP($A31,'Citrus Margin MAND - Baseline'!$A$7:$BC$41,COLUMNS('Citrus Margin MAND - Baseline'!$A34:$AY34),0)</f>
        <v>46582.289544237879</v>
      </c>
      <c r="AY31" s="62">
        <f>+VLOOKUP($A31,'Citrus Margin MAND - Baseline'!$A$7:$BC$41,COLUMNS('Citrus Margin MAND - Baseline'!$A34:$BA34),0)</f>
        <v>25627.774805983252</v>
      </c>
      <c r="AZ31" s="64">
        <f>+VLOOKUP($A31,'Citrus Margin MAND - Baseline'!$A$7:$BC$41,COLUMNS('Citrus Margin MAND - Baseline'!$A34:$BC34),0)</f>
        <v>28.292352937388028</v>
      </c>
      <c r="BA31" s="62">
        <f>+VLOOKUP($A31,'Citrus Margin MAND- Alternative'!$A$7:$BX$41,COLUMNS('Citrus Margin MAND- Alternative'!$A34:$C34),0)</f>
        <v>1604.6680966715808</v>
      </c>
      <c r="BB31" s="62">
        <f>'Citrus Margin MAND- Alternative'!F34</f>
        <v>45</v>
      </c>
      <c r="BC31" s="62">
        <f>VLOOKUP($A31,'Citrus Margin MAND- Alternative'!$A$7:$BC$41,COLUMNS('Citrus Margin MAND- Alternative'!$A34:$I34),0)</f>
        <v>72210.064350221131</v>
      </c>
      <c r="BD31" s="62">
        <f>VLOOKUP($A31,'Citrus Margin MAND- Alternative'!$A$7:$BC$41,COLUMNS('Citrus Margin MAND- Alternative'!$A34:$AZ34),0)</f>
        <v>46582.289544237879</v>
      </c>
      <c r="BE31" s="62">
        <f>VLOOKUP($A31,'Citrus Margin MAND- Alternative'!$A$7:$BX$41,COLUMNS('Citrus Margin MAND- Alternative'!$A34:$BC34),0)</f>
        <v>25627.774805983252</v>
      </c>
      <c r="BF31" s="64">
        <f>+VLOOKUP($A31,'Citrus Margin MAND- Alternative'!$A$7:$BX$41,COLUMNS('Citrus Margin MAND- Alternative'!$A34:$BF34),0)</f>
        <v>28.292352937388028</v>
      </c>
    </row>
    <row r="32" spans="1:58" x14ac:dyDescent="0.2">
      <c r="A32" s="8">
        <f t="shared" si="0"/>
        <v>2049</v>
      </c>
      <c r="B32" s="34">
        <f>+VLOOKUP($A32,'Almonds Margin - Baseline'!$A$5:$BL$39,COLUMNS('Almonds Margin - Baseline'!$A38:$B38),0)</f>
        <v>15377.305132104235</v>
      </c>
      <c r="C32" s="34">
        <f t="shared" si="1"/>
        <v>15.377305132104235</v>
      </c>
      <c r="D32" s="28">
        <f>+VLOOKUP($A32,'Almonds Margin - Baseline'!$A$5:$BL$39,COLUMNS('Almonds Margin - Baseline'!$A38:$D38),0)</f>
        <v>2.48</v>
      </c>
      <c r="E32" s="28">
        <f>+VLOOKUP($A32,'Almonds Margin - Baseline'!$A$5:$BL$39,COLUMNS('Almonds Margin - Baseline'!$A38:$F38),0)</f>
        <v>38135.716727618499</v>
      </c>
      <c r="F32" s="28">
        <f>+VLOOKUP($A32,'Almonds Margin - Baseline'!$A$5:$BL$39,COLUMNS('Almonds Margin - Baseline'!$A38:$BH38),0)</f>
        <v>29964.47908270247</v>
      </c>
      <c r="G32" s="28">
        <f>+VLOOKUP($A32,'Almonds Margin - Baseline'!$A$5:$BL$39,COLUMNS('Almonds Margin - Baseline'!$A38:$BJ38),0)</f>
        <v>8171.2376449160292</v>
      </c>
      <c r="H32" s="166">
        <f>+VLOOKUP($A32,'Almonds Margin - Baseline'!$A$5:$BL$39,COLUMNS('Almonds Margin - Baseline'!$A38:$BL38),0)</f>
        <v>1.6491953832749238</v>
      </c>
      <c r="I32" s="34">
        <f>+VLOOKUP($A32,'Almonds Margin - Alternative'!$A$7:$BT$41,COLUMNS('Almonds Margin - Alternative'!$A40:$D40),0)</f>
        <v>15377.305132104235</v>
      </c>
      <c r="J32" s="34">
        <f t="shared" si="2"/>
        <v>15.377305132104235</v>
      </c>
      <c r="K32" s="28">
        <f>'Almonds Margin - Alternative'!H35</f>
        <v>2.48</v>
      </c>
      <c r="L32" s="28">
        <f>+VLOOKUP($A32,'Almonds Margin - Alternative'!$A$7:$BT$41,COLUMNS('Almonds Margin - Alternative'!$A40:$K40),0)</f>
        <v>38135.716727618499</v>
      </c>
      <c r="M32" s="28">
        <f>+VLOOKUP($A32,'Almonds Margin - Alternative'!$A$7:$BT$41,COLUMNS('Almonds Margin - Alternative'!$A40:$BO40),0)</f>
        <v>29964.47908270247</v>
      </c>
      <c r="N32" s="28">
        <f>+VLOOKUP($A32,'Almonds Margin - Alternative'!$A$7:$BT$41,COLUMNS('Almonds Margin - Alternative'!$A40:$BR40),0)</f>
        <v>8171.2376449160292</v>
      </c>
      <c r="O32" s="158">
        <f>+VLOOKUP($A32,'Almonds Margin - Alternative'!$A$7:$CA$41,COLUMNS('Almonds Margin - Alternative'!$A40:$BU40),0)</f>
        <v>1.6491953832749238</v>
      </c>
      <c r="P32" s="28">
        <f>+VLOOKUP($A32,'Almonds Margin - Alter.Ex.Rate'!$A$7:$BL$41,COLUMNS('Almonds Margin - Alter.Ex.Rate'!$A40:$BJ40),0)</f>
        <v>14577.349075410377</v>
      </c>
      <c r="Q32" s="34">
        <f>+VLOOKUP($A32,'Almonds Margin - Alter.Ex.Rate'!$A$7:$BL$41,COLUMNS('Almonds Margin - Alter.Ex.Rate'!$A40:$BL40),0)</f>
        <v>1.3994587279648305</v>
      </c>
      <c r="R32" s="34">
        <f>+VLOOKUP($A32,'Almonds Margin - Baseline'!$A$5:$BL$39,COLUMNS( 'Almonds Margin - Baseline'!$A38:$B38),0)</f>
        <v>15377.305132104235</v>
      </c>
      <c r="S32" s="28">
        <f>+VLOOKUP($A32,'Almonds Margin - Baseline'!$A$5:$BL$39,COLUMNS('Almonds Margin - Baseline'!$A38:$D38),0)</f>
        <v>2.48</v>
      </c>
      <c r="T32" s="28">
        <f>+VLOOKUP($A32,'Almonds Margin - Baseline'!$A$5:$BL$39,COLUMNS('Almonds Margin - Baseline'!$A38:$F38),0)</f>
        <v>38135.716727618499</v>
      </c>
      <c r="U32" s="28" t="e">
        <f>+VLOOKUP($A32,#REF!,COLUMNS(#REF!),0)</f>
        <v>#REF!</v>
      </c>
      <c r="V32" s="62">
        <f>+VLOOKUP($A32,'Grapes Margin - Baseline'!$A$7:$BC$41,COLUMNS('Grapes Margin - Baseline'!$A37:$C37),0)</f>
        <v>7097.2177532788746</v>
      </c>
      <c r="W32" s="104">
        <f>'Grapes Margin - Baseline'!F35</f>
        <v>15.4</v>
      </c>
      <c r="X32" s="62">
        <f>VLOOKUP($A32,'Grapes Margin - Baseline'!$A$7:$BC$41,COLUMNS('Grapes Margin - Baseline'!$A35:$I35),0)</f>
        <v>109297.15340049467</v>
      </c>
      <c r="Y32" s="62">
        <f>VLOOKUP($A32,'Grapes Margin - Baseline'!$A$7:$CA$41,COLUMNS('Grapes Margin - Baseline'!$A35:$BD35),0)</f>
        <v>40122.900974588476</v>
      </c>
      <c r="Z32" s="62">
        <f>+VLOOKUP($A32,'Grapes Margin - Baseline'!$A$7:$CA$41,COLUMNS('Grapes Margin - Baseline'!$A35:$BF35),0)</f>
        <v>69174.25242590619</v>
      </c>
      <c r="AA32" s="64">
        <f>+VLOOKUP($A32,'Grapes Margin - Baseline'!$A$7:$CA$41,COLUMNS('Grapes Margin - Baseline'!$A35:$BH35),0)</f>
        <v>5.4017897305143387</v>
      </c>
      <c r="AB32" s="62">
        <f>+VLOOKUP($A32,'Grapes Margin - Alternative'!$A$7:$BY$41,COLUMNS('Grapes Margin - Alternative'!$A35:$C35),0)</f>
        <v>7097.2177532788746</v>
      </c>
      <c r="AC32" s="62">
        <f>'Grapes Margin - Alternative'!F35</f>
        <v>15.4</v>
      </c>
      <c r="AD32" s="62">
        <f>VLOOKUP($A32,'Grapes Margin - Alternative'!$A$7:$BB$41,COLUMNS('Grapes Margin - Alternative'!$A35:$J35),0)</f>
        <v>109297.15340049467</v>
      </c>
      <c r="AE32" s="62">
        <f>VLOOKUP($A32,'Grapes Margin - Alternative'!$A$7:$BY$41,COLUMNS('Grapes Margin - Alternative'!$A35:$BF35),0)</f>
        <v>40123.525007322125</v>
      </c>
      <c r="AF32" s="62">
        <f>VLOOKUP($A32,'Grapes Margin - Alternative'!$A$7:$BY$41,COLUMNS('Grapes Margin - Alternative'!$A35:$BI35),0)</f>
        <v>69173.628393172548</v>
      </c>
      <c r="AG32" s="64">
        <f>+VLOOKUP($A32,'Grapes Margin - Alternative'!$A$7:$BY$41,COLUMNS('Grapes Margin - Alternative'!$A35:$BL35),0)</f>
        <v>5.4018799461594389</v>
      </c>
      <c r="AH32" s="62">
        <f>+VLOOKUP($A32,'Citrus Margin ORAG - Baseline'!$A$7:$BC$41,COLUMNS('Citrus Margin ORAG - Baseline'!$A35:$C35),0)</f>
        <v>1182.869625546479</v>
      </c>
      <c r="AI32" s="104">
        <f>+VLOOKUP($A32,'Citrus Margin ORAG - Baseline'!$A$7:$BC$41,COLUMNS('Citrus Margin ORAG - Baseline'!$A35:$F35),0)</f>
        <v>40</v>
      </c>
      <c r="AJ32" s="62">
        <f>VLOOKUP($A32,'Citrus Margin ORAG - Baseline'!$A$7:$BC$41,COLUMNS('Citrus Margin ORAG - Baseline'!$A35:$I35),0)</f>
        <v>47314.785021859163</v>
      </c>
      <c r="AK32" s="62">
        <f>VLOOKUP($A32,'Citrus Margin ORAG - Baseline'!$A$7:$BC$41,COLUMNS('Citrus Margin ORAG - Baseline'!$A35:$AY35),0)</f>
        <v>30239.990721473099</v>
      </c>
      <c r="AL32" s="62">
        <f>+VLOOKUP($A32,'Citrus Margin ORAG - Baseline'!$A$7:$BC$41,COLUMNS('Citrus Margin ORAG - Baseline'!$A35:$BA35),0)</f>
        <v>17074.794300386064</v>
      </c>
      <c r="AM32" s="64">
        <f>+VLOOKUP($A32,'Citrus Margin ORAG - Baseline'!$A$7:$BC$41,COLUMNS('Citrus Margin ORAG - Baseline'!$A35:$BC35),0)</f>
        <v>24.599445875303786</v>
      </c>
      <c r="AN32" s="62">
        <f>+VLOOKUP($A32,'Citrus Margin ORAG- Alternative'!$A$7:$BW$41,COLUMNS('Citrus Margin ORAG- Alternative'!$A35:$E35),0)</f>
        <v>1182.869625546479</v>
      </c>
      <c r="AO32" s="62">
        <f>'Citrus Margin ORAG- Alternative'!H35</f>
        <v>40</v>
      </c>
      <c r="AP32" s="62">
        <f>VLOOKUP($A32,'Citrus Margin ORAG- Alternative'!$A$7:$BB$41,COLUMNS('Citrus Margin ORAG- Alternative'!$A35:$J35),0)</f>
        <v>47314.785021859163</v>
      </c>
      <c r="AQ32" s="62">
        <f>VLOOKUP($A32,'Citrus Margin ORAG- Alternative'!$A$7:$CA$41,COLUMNS('Citrus Margin ORAG- Alternative'!$A35:BA35),0)</f>
        <v>30239.990721473099</v>
      </c>
      <c r="AR32" s="62">
        <f>VLOOKUP($A32,'Citrus Margin ORAG- Alternative'!$A$7:$BW$41,COLUMNS('Citrus Margin ORAG- Alternative'!$A35:$BD35),0)</f>
        <v>17074.794300386064</v>
      </c>
      <c r="AS32" s="64">
        <f>+VLOOKUP($A32,'Citrus Margin ORAG- Alternative'!$A$7:$BW$41,COLUMNS('Citrus Margin ORAG- Alternative'!$A35:$BG35),0)</f>
        <v>24.599445875303786</v>
      </c>
      <c r="AU32" s="62">
        <f>+VLOOKUP($A32,'Citrus Margin MAND - Baseline'!$A$7:$CA$41,COLUMNS('Citrus Margin MAND - Baseline'!$A35:$C35),0)</f>
        <v>1656.0174757650716</v>
      </c>
      <c r="AV32" s="104">
        <f>+VLOOKUP($A32,'Citrus Margin MAND - Baseline'!$A$7:$CA$41,COLUMNS('Citrus Margin MAND - Baseline'!$A35:$F35),0)</f>
        <v>45</v>
      </c>
      <c r="AW32" s="62">
        <f>VLOOKUP($A32,'Citrus Margin MAND - Baseline'!$A$7:$CA$41,COLUMNS('Citrus Margin MAND - Baseline'!$A35:$I35),0)</f>
        <v>74520.786409428227</v>
      </c>
      <c r="AX32" s="62">
        <f>VLOOKUP($A32,'Citrus Margin MAND - Baseline'!$A$7:$BC$41,COLUMNS('Citrus Margin MAND - Baseline'!$A35:$AY35),0)</f>
        <v>48017.414445361574</v>
      </c>
      <c r="AY32" s="62">
        <f>+VLOOKUP($A32,'Citrus Margin MAND - Baseline'!$A$7:$BC$41,COLUMNS('Citrus Margin MAND - Baseline'!$A35:$BA35),0)</f>
        <v>26503.371964066653</v>
      </c>
      <c r="AZ32" s="64">
        <f>+VLOOKUP($A32,'Citrus Margin MAND - Baseline'!$A$7:$BC$41,COLUMNS('Citrus Margin MAND - Baseline'!$A35:$BC35),0)</f>
        <v>28.261671344860421</v>
      </c>
      <c r="BA32" s="62">
        <f>+VLOOKUP($A32,'Citrus Margin MAND- Alternative'!$A$7:$BX$41,COLUMNS('Citrus Margin MAND- Alternative'!$A35:$C35),0)</f>
        <v>1656.0174757650716</v>
      </c>
      <c r="BB32" s="62">
        <f>'Citrus Margin MAND- Alternative'!F35</f>
        <v>45</v>
      </c>
      <c r="BC32" s="62">
        <f>VLOOKUP($A32,'Citrus Margin MAND- Alternative'!$A$7:$BC$41,COLUMNS('Citrus Margin MAND- Alternative'!$A35:$I35),0)</f>
        <v>74520.786409428227</v>
      </c>
      <c r="BD32" s="62">
        <f>VLOOKUP($A32,'Citrus Margin MAND- Alternative'!$A$7:$BC$41,COLUMNS('Citrus Margin MAND- Alternative'!$A35:$AZ35),0)</f>
        <v>48017.414445361574</v>
      </c>
      <c r="BE32" s="62">
        <f>VLOOKUP($A32,'Citrus Margin MAND- Alternative'!$A$7:$BX$41,COLUMNS('Citrus Margin MAND- Alternative'!$A35:$BC35),0)</f>
        <v>26503.371964066653</v>
      </c>
      <c r="BF32" s="64">
        <f>+VLOOKUP($A32,'Citrus Margin MAND- Alternative'!$A$7:$BX$41,COLUMNS('Citrus Margin MAND- Alternative'!$A35:$BF35),0)</f>
        <v>28.261671344860421</v>
      </c>
    </row>
    <row r="33" spans="1:58" x14ac:dyDescent="0.2">
      <c r="A33" s="8">
        <f t="shared" si="0"/>
        <v>2050</v>
      </c>
      <c r="B33" s="34">
        <f>+VLOOKUP($A33,'Almonds Margin - Baseline'!$A$5:$BL$39,COLUMNS('Almonds Margin - Baseline'!$A39:$B39),0)</f>
        <v>15869.378896331569</v>
      </c>
      <c r="C33" s="34">
        <f t="shared" si="1"/>
        <v>15.86937889633157</v>
      </c>
      <c r="D33" s="28">
        <f>+VLOOKUP($A33,'Almonds Margin - Baseline'!$A$5:$BL$39,COLUMNS('Almonds Margin - Baseline'!$A39:$D39),0)</f>
        <v>2.48</v>
      </c>
      <c r="E33" s="28">
        <f>+VLOOKUP($A33,'Almonds Margin - Baseline'!$A$5:$BL$39,COLUMNS('Almonds Margin - Baseline'!$A39:$F39),0)</f>
        <v>39356.059662902291</v>
      </c>
      <c r="F33" s="28">
        <f>+VLOOKUP($A33,'Almonds Margin - Baseline'!$A$5:$BL$39,COLUMNS('Almonds Margin - Baseline'!$A39:$BH39),0)</f>
        <v>30845.088186890178</v>
      </c>
      <c r="G33" s="28">
        <f>+VLOOKUP($A33,'Almonds Margin - Baseline'!$A$5:$BL$39,COLUMNS('Almonds Margin - Baseline'!$A39:$BJ39),0)</f>
        <v>8510.9714760121133</v>
      </c>
      <c r="H33" s="166">
        <f>+VLOOKUP($A33,'Almonds Margin - Baseline'!$A$5:$BL$39,COLUMNS('Almonds Margin - Baseline'!$A39:$BL39),0)</f>
        <v>1.6443385739202452</v>
      </c>
      <c r="I33" s="34">
        <f>+VLOOKUP($A33,'Almonds Margin - Alternative'!$A$7:$BT$41,COLUMNS('Almonds Margin - Alternative'!$A41:$D41),0)</f>
        <v>15869.378896331569</v>
      </c>
      <c r="J33" s="34">
        <f t="shared" si="2"/>
        <v>15.86937889633157</v>
      </c>
      <c r="K33" s="28">
        <f>'Almonds Margin - Alternative'!H36</f>
        <v>2.48</v>
      </c>
      <c r="L33" s="28">
        <f>+VLOOKUP($A33,'Almonds Margin - Alternative'!$A$7:$BT$41,COLUMNS('Almonds Margin - Alternative'!$A41:$K41),0)</f>
        <v>39356.059662902291</v>
      </c>
      <c r="M33" s="28">
        <f>+VLOOKUP($A33,'Almonds Margin - Alternative'!$A$7:$BT$41,COLUMNS('Almonds Margin - Alternative'!$A41:$BO41),0)</f>
        <v>30845.088186890178</v>
      </c>
      <c r="N33" s="28">
        <f>+VLOOKUP($A33,'Almonds Margin - Alternative'!$A$7:$BT$41,COLUMNS('Almonds Margin - Alternative'!$A41:$BR41),0)</f>
        <v>8510.9714760121133</v>
      </c>
      <c r="O33" s="158">
        <f>+VLOOKUP($A33,'Almonds Margin - Alternative'!$A$7:$CA$41,COLUMNS('Almonds Margin - Alternative'!$A41:$BU41),0)</f>
        <v>1.6443385739202452</v>
      </c>
      <c r="P33" s="28">
        <f>+VLOOKUP($A33,'Almonds Margin - Alter.Ex.Rate'!$A$7:$BL$41,COLUMNS('Almonds Margin - Alter.Ex.Rate'!$A41:$BJ41),0)</f>
        <v>15319.42158524528</v>
      </c>
      <c r="Q33" s="34">
        <f>+VLOOKUP($A33,'Almonds Margin - Alter.Ex.Rate'!$A$7:$BL$41,COLUMNS('Almonds Margin - Alter.Ex.Rate'!$A41:$BL41),0)</f>
        <v>1.3798136610856104</v>
      </c>
      <c r="R33" s="34">
        <f>+VLOOKUP($A33,'Almonds Margin - Baseline'!$A$5:$BL$39,COLUMNS( 'Almonds Margin - Baseline'!$A39:$B39),0)</f>
        <v>15869.378896331569</v>
      </c>
      <c r="S33" s="28">
        <f>+VLOOKUP($A33,'Almonds Margin - Baseline'!$A$5:$BL$39,COLUMNS('Almonds Margin - Baseline'!$A39:$D39),0)</f>
        <v>2.48</v>
      </c>
      <c r="T33" s="28">
        <f>+VLOOKUP($A33,'Almonds Margin - Baseline'!$A$5:$BL$39,COLUMNS('Almonds Margin - Baseline'!$A39:$F39),0)</f>
        <v>39356.059662902291</v>
      </c>
      <c r="U33" s="28" t="e">
        <f>+VLOOKUP($A33,#REF!,COLUMNS(#REF!),0)</f>
        <v>#REF!</v>
      </c>
      <c r="V33" s="62">
        <f>+VLOOKUP($A33,'Grapes Margin - Baseline'!$A$7:$BC$41,COLUMNS('Grapes Margin - Baseline'!$A38:$C38),0)</f>
        <v>7324.3287213837984</v>
      </c>
      <c r="W33" s="104">
        <f>'Grapes Margin - Baseline'!F36</f>
        <v>15.4</v>
      </c>
      <c r="X33" s="62">
        <f>VLOOKUP($A33,'Grapes Margin - Baseline'!$A$7:$BC$41,COLUMNS('Grapes Margin - Baseline'!$A36:$I36),0)</f>
        <v>112794.6623093105</v>
      </c>
      <c r="Y33" s="62">
        <f>VLOOKUP($A33,'Grapes Margin - Baseline'!$A$7:$CA$41,COLUMNS('Grapes Margin - Baseline'!$A36:$BD36),0)</f>
        <v>41357.365314298921</v>
      </c>
      <c r="Z33" s="62">
        <f>+VLOOKUP($A33,'Grapes Margin - Baseline'!$A$7:$CA$41,COLUMNS('Grapes Margin - Baseline'!$A36:$BF36),0)</f>
        <v>71437.29699501158</v>
      </c>
      <c r="AA33" s="64">
        <f>+VLOOKUP($A33,'Grapes Margin - Baseline'!$A$7:$CA$41,COLUMNS('Grapes Margin - Baseline'!$A36:$BH36),0)</f>
        <v>5.3952841874587767</v>
      </c>
      <c r="AB33" s="62">
        <f>+VLOOKUP($A33,'Grapes Margin - Alternative'!$A$7:$BY$41,COLUMNS('Grapes Margin - Alternative'!$A36:$C36),0)</f>
        <v>7324.3287213837984</v>
      </c>
      <c r="AC33" s="62">
        <f>'Grapes Margin - Alternative'!F36</f>
        <v>15.4</v>
      </c>
      <c r="AD33" s="62">
        <f>VLOOKUP($A33,'Grapes Margin - Alternative'!$A$7:$BB$41,COLUMNS('Grapes Margin - Alternative'!$A36:$J36),0)</f>
        <v>112794.6623093105</v>
      </c>
      <c r="AE33" s="62">
        <f>VLOOKUP($A33,'Grapes Margin - Alternative'!$A$7:$BY$41,COLUMNS('Grapes Margin - Alternative'!$A36:$BF36),0)</f>
        <v>41357.998272982986</v>
      </c>
      <c r="AF33" s="62">
        <f>VLOOKUP($A33,'Grapes Margin - Alternative'!$A$7:$BY$41,COLUMNS('Grapes Margin - Alternative'!$A36:$BI36),0)</f>
        <v>71436.664036327507</v>
      </c>
      <c r="AG33" s="64">
        <f>+VLOOKUP($A33,'Grapes Margin - Alternative'!$A$7:$BY$41,COLUMNS('Grapes Margin - Alternative'!$A36:$BL36),0)</f>
        <v>5.3953728517483226</v>
      </c>
      <c r="AH33" s="62">
        <f>+VLOOKUP($A33,'Citrus Margin ORAG - Baseline'!$A$7:$BC$41,COLUMNS('Citrus Margin ORAG - Baseline'!$A36:$C36),0)</f>
        <v>1220.7214535639662</v>
      </c>
      <c r="AI33" s="104">
        <f>+VLOOKUP($A33,'Citrus Margin ORAG - Baseline'!$A$7:$BC$41,COLUMNS('Citrus Margin ORAG - Baseline'!$A36:$F36),0)</f>
        <v>40</v>
      </c>
      <c r="AJ33" s="62">
        <f>VLOOKUP($A33,'Citrus Margin ORAG - Baseline'!$A$7:$BC$41,COLUMNS('Citrus Margin ORAG - Baseline'!$A36:$I36),0)</f>
        <v>48828.858142558645</v>
      </c>
      <c r="AK33" s="62">
        <f>VLOOKUP($A33,'Citrus Margin ORAG - Baseline'!$A$7:$BC$41,COLUMNS('Citrus Margin ORAG - Baseline'!$A36:$AY36),0)</f>
        <v>31147.927389085133</v>
      </c>
      <c r="AL33" s="62">
        <f>+VLOOKUP($A33,'Citrus Margin ORAG - Baseline'!$A$7:$BC$41,COLUMNS('Citrus Margin ORAG - Baseline'!$A36:$BA36),0)</f>
        <v>17680.930753473513</v>
      </c>
      <c r="AM33" s="64">
        <f>+VLOOKUP($A33,'Citrus Margin ORAG - Baseline'!$A$7:$BC$41,COLUMNS('Citrus Margin ORAG - Baseline'!$A36:$BC36),0)</f>
        <v>24.553728398554469</v>
      </c>
      <c r="AN33" s="62">
        <f>+VLOOKUP($A33,'Citrus Margin ORAG- Alternative'!$A$7:$BW$41,COLUMNS('Citrus Margin ORAG- Alternative'!$A36:$E36),0)</f>
        <v>1220.7214535639662</v>
      </c>
      <c r="AO33" s="62">
        <f>'Citrus Margin ORAG- Alternative'!H36</f>
        <v>40</v>
      </c>
      <c r="AP33" s="62">
        <f>VLOOKUP($A33,'Citrus Margin ORAG- Alternative'!$A$7:$BB$41,COLUMNS('Citrus Margin ORAG- Alternative'!$A36:$J36),0)</f>
        <v>48828.858142558645</v>
      </c>
      <c r="AQ33" s="62">
        <f>VLOOKUP($A33,'Citrus Margin ORAG- Alternative'!$A$7:$CA$41,COLUMNS('Citrus Margin ORAG- Alternative'!$A36:BA36),0)</f>
        <v>31147.927389085133</v>
      </c>
      <c r="AR33" s="62">
        <f>VLOOKUP($A33,'Citrus Margin ORAG- Alternative'!$A$7:$BW$41,COLUMNS('Citrus Margin ORAG- Alternative'!$A36:$BD36),0)</f>
        <v>17680.930753473513</v>
      </c>
      <c r="AS33" s="64">
        <f>+VLOOKUP($A33,'Citrus Margin ORAG- Alternative'!$A$7:$BW$41,COLUMNS('Citrus Margin ORAG- Alternative'!$A36:$BG36),0)</f>
        <v>24.553728398554469</v>
      </c>
      <c r="AU33" s="62">
        <f>+VLOOKUP($A33,'Citrus Margin MAND - Baseline'!$A$7:$CA$41,COLUMNS('Citrus Margin MAND - Baseline'!$A36:$C36),0)</f>
        <v>1709.0100349895538</v>
      </c>
      <c r="AV33" s="104">
        <f>+VLOOKUP($A33,'Citrus Margin MAND - Baseline'!$A$7:$CA$41,COLUMNS('Citrus Margin MAND - Baseline'!$A36:$F36),0)</f>
        <v>45</v>
      </c>
      <c r="AW33" s="62">
        <f>VLOOKUP($A33,'Citrus Margin MAND - Baseline'!$A$7:$CA$41,COLUMNS('Citrus Margin MAND - Baseline'!$A36:$I36),0)</f>
        <v>76905.451574529914</v>
      </c>
      <c r="AX33" s="62">
        <f>VLOOKUP($A33,'Citrus Margin MAND - Baseline'!$A$7:$BC$41,COLUMNS('Citrus Margin MAND - Baseline'!$A36:$AY36),0)</f>
        <v>49494.903339284996</v>
      </c>
      <c r="AY33" s="62">
        <f>+VLOOKUP($A33,'Citrus Margin MAND - Baseline'!$A$7:$BC$41,COLUMNS('Citrus Margin MAND - Baseline'!$A36:$BA36),0)</f>
        <v>27410.548235244918</v>
      </c>
      <c r="AZ33" s="64">
        <f>+VLOOKUP($A33,'Citrus Margin MAND - Baseline'!$A$7:$BC$41,COLUMNS('Citrus Margin MAND - Baseline'!$A36:$BC36),0)</f>
        <v>28.229779199971158</v>
      </c>
      <c r="BA33" s="62">
        <f>+VLOOKUP($A33,'Citrus Margin MAND- Alternative'!$A$7:$BX$41,COLUMNS('Citrus Margin MAND- Alternative'!$A36:$C36),0)</f>
        <v>1709.0100349895538</v>
      </c>
      <c r="BB33" s="62">
        <f>'Citrus Margin MAND- Alternative'!F36</f>
        <v>45</v>
      </c>
      <c r="BC33" s="62">
        <f>VLOOKUP($A33,'Citrus Margin MAND- Alternative'!$A$7:$BC$41,COLUMNS('Citrus Margin MAND- Alternative'!$A36:$I36),0)</f>
        <v>76905.451574529914</v>
      </c>
      <c r="BD33" s="62">
        <f>VLOOKUP($A33,'Citrus Margin MAND- Alternative'!$A$7:$BC$41,COLUMNS('Citrus Margin MAND- Alternative'!$A36:$AZ36),0)</f>
        <v>49494.903339284996</v>
      </c>
      <c r="BE33" s="62">
        <f>VLOOKUP($A33,'Citrus Margin MAND- Alternative'!$A$7:$BX$41,COLUMNS('Citrus Margin MAND- Alternative'!$A36:$BC36),0)</f>
        <v>27410.548235244918</v>
      </c>
      <c r="BF33" s="64">
        <f>+VLOOKUP($A33,'Citrus Margin MAND- Alternative'!$A$7:$BX$41,COLUMNS('Citrus Margin MAND- Alternative'!$A36:$BF36),0)</f>
        <v>28.229779199971158</v>
      </c>
    </row>
  </sheetData>
  <mergeCells count="13">
    <mergeCell ref="B1:U1"/>
    <mergeCell ref="V2:AA2"/>
    <mergeCell ref="B2:H2"/>
    <mergeCell ref="I2:O2"/>
    <mergeCell ref="P2:U2"/>
    <mergeCell ref="V1:AG1"/>
    <mergeCell ref="AB2:AG2"/>
    <mergeCell ref="AU2:AZ2"/>
    <mergeCell ref="AU1:BF1"/>
    <mergeCell ref="BA2:BF2"/>
    <mergeCell ref="AH1:AS1"/>
    <mergeCell ref="AH2:AM2"/>
    <mergeCell ref="AN2:AS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F8E46-B6EE-4DE2-BF74-A87799EF43DD}">
  <dimension ref="A1:AY49"/>
  <sheetViews>
    <sheetView workbookViewId="0">
      <selection activeCell="K13" sqref="K13"/>
    </sheetView>
  </sheetViews>
  <sheetFormatPr baseColWidth="10" defaultColWidth="8.83203125" defaultRowHeight="15" x14ac:dyDescent="0.2"/>
  <cols>
    <col min="1" max="1" width="14.5" customWidth="1"/>
  </cols>
  <sheetData>
    <row r="1" spans="1:51" x14ac:dyDescent="0.2">
      <c r="A1" s="280" t="s">
        <v>138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spans="1:51" x14ac:dyDescent="0.2">
      <c r="A2" s="281"/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spans="1:51" x14ac:dyDescent="0.2">
      <c r="A3" s="281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spans="1:51" x14ac:dyDescent="0.2">
      <c r="A4" s="281"/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spans="1:51" ht="21" x14ac:dyDescent="0.25">
      <c r="A6" s="240" t="s">
        <v>139</v>
      </c>
      <c r="B6" s="240"/>
      <c r="C6" s="240"/>
      <c r="D6" s="240"/>
      <c r="E6" s="12"/>
      <c r="F6" s="12"/>
      <c r="G6" s="12"/>
      <c r="H6" s="12"/>
      <c r="I6" s="12" t="s">
        <v>140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spans="1:51" x14ac:dyDescent="0.2">
      <c r="A7" s="12" t="s">
        <v>58</v>
      </c>
      <c r="B7" s="12"/>
      <c r="C7" s="12"/>
      <c r="D7" s="12"/>
      <c r="E7" s="12"/>
      <c r="F7" s="12"/>
      <c r="G7" s="12"/>
      <c r="H7" s="12"/>
      <c r="I7" s="12" t="s">
        <v>141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spans="1:51" x14ac:dyDescent="0.2">
      <c r="A8" s="12" t="s">
        <v>142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1" x14ac:dyDescent="0.2">
      <c r="A9" s="12" t="s">
        <v>143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spans="1:51" x14ac:dyDescent="0.2">
      <c r="A10" s="12" t="s">
        <v>116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spans="1:51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spans="1:51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5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spans="1:51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spans="1:51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spans="1:51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spans="1:51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spans="1:51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spans="1:51" x14ac:dyDescent="0.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spans="1:51" x14ac:dyDescent="0.2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spans="1:51" x14ac:dyDescent="0.2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spans="1:51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spans="1:51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spans="1:51" x14ac:dyDescent="0.2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spans="1:51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spans="1:51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spans="1:5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spans="1:5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spans="1:5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spans="1:5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spans="1:51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spans="1:51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spans="1:5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spans="1:51" x14ac:dyDescent="0.2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spans="1:51" x14ac:dyDescent="0.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spans="1:51" x14ac:dyDescent="0.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spans="1:51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spans="1:51" x14ac:dyDescent="0.2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spans="1:51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spans="1:51" x14ac:dyDescent="0.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spans="1:51" x14ac:dyDescent="0.2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spans="1:51" x14ac:dyDescent="0.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spans="1:51" x14ac:dyDescent="0.2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spans="1:51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spans="1:51" x14ac:dyDescent="0.2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spans="1:5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spans="1:51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spans="1:51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spans="1:51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</sheetData>
  <mergeCells count="1">
    <mergeCell ref="A1:N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20CC6-324F-441F-B105-E9BEEBB0B49C}">
  <sheetPr codeName="Sheet14"/>
  <dimension ref="A2:AV298"/>
  <sheetViews>
    <sheetView zoomScale="50" zoomScaleNormal="50" workbookViewId="0">
      <selection activeCell="T70" sqref="T70"/>
    </sheetView>
  </sheetViews>
  <sheetFormatPr baseColWidth="10" defaultColWidth="8.6640625" defaultRowHeight="15" x14ac:dyDescent="0.2"/>
  <cols>
    <col min="1" max="1" width="8.6640625" style="209"/>
    <col min="2" max="2" width="37.6640625" style="209" bestFit="1" customWidth="1"/>
    <col min="3" max="3" width="20.6640625" style="209" customWidth="1"/>
    <col min="4" max="4" width="18.1640625" style="209" bestFit="1" customWidth="1"/>
    <col min="5" max="5" width="20.5" style="209" bestFit="1" customWidth="1"/>
    <col min="6" max="6" width="18.1640625" style="209" bestFit="1" customWidth="1"/>
    <col min="7" max="7" width="8.83203125" style="209" bestFit="1" customWidth="1"/>
    <col min="8" max="9" width="8.6640625" style="209"/>
    <col min="10" max="10" width="8.83203125" style="209" bestFit="1" customWidth="1"/>
    <col min="11" max="11" width="15.5" style="209" bestFit="1" customWidth="1"/>
    <col min="12" max="12" width="16.5" style="209" bestFit="1" customWidth="1"/>
    <col min="13" max="13" width="16.83203125" style="209" bestFit="1" customWidth="1"/>
    <col min="14" max="14" width="7.5" style="209" customWidth="1"/>
    <col min="15" max="15" width="9.5" style="209" bestFit="1" customWidth="1"/>
    <col min="16" max="16" width="8.83203125" style="209" bestFit="1" customWidth="1"/>
    <col min="17" max="17" width="11.5" style="209" bestFit="1" customWidth="1"/>
    <col min="18" max="18" width="17" style="209" customWidth="1"/>
    <col min="19" max="19" width="10.33203125" style="209" bestFit="1" customWidth="1"/>
    <col min="20" max="20" width="13.33203125" style="209" bestFit="1" customWidth="1"/>
    <col min="21" max="21" width="14.5" style="209" bestFit="1" customWidth="1"/>
    <col min="22" max="22" width="12.83203125" style="209" bestFit="1" customWidth="1"/>
    <col min="23" max="25" width="8.6640625" style="209"/>
    <col min="26" max="27" width="8.83203125" style="209" bestFit="1" customWidth="1"/>
    <col min="28" max="28" width="15.5" style="209" bestFit="1" customWidth="1"/>
    <col min="29" max="29" width="9.5" style="209" bestFit="1" customWidth="1"/>
    <col min="30" max="30" width="9.5" style="209" customWidth="1"/>
    <col min="31" max="31" width="8.83203125" style="209" bestFit="1" customWidth="1"/>
    <col min="32" max="39" width="8.6640625" style="209"/>
    <col min="40" max="40" width="13.5" style="209" customWidth="1"/>
    <col min="41" max="41" width="10.1640625" style="209" customWidth="1"/>
    <col min="42" max="42" width="12.5" style="209" bestFit="1" customWidth="1"/>
    <col min="43" max="43" width="11.1640625" style="209" bestFit="1" customWidth="1"/>
    <col min="44" max="44" width="13.5" style="209" bestFit="1" customWidth="1"/>
    <col min="45" max="45" width="11.1640625" style="209" bestFit="1" customWidth="1"/>
    <col min="46" max="46" width="13.5" style="209" bestFit="1" customWidth="1"/>
    <col min="47" max="47" width="11.1640625" style="209" bestFit="1" customWidth="1"/>
    <col min="48" max="48" width="13.5" style="209" bestFit="1" customWidth="1"/>
    <col min="49" max="16384" width="8.6640625" style="209"/>
  </cols>
  <sheetData>
    <row r="2" spans="1:48" ht="20" customHeight="1" thickBot="1" x14ac:dyDescent="0.25">
      <c r="W2" s="285" t="s">
        <v>144</v>
      </c>
      <c r="X2" s="285"/>
      <c r="Y2" s="285"/>
      <c r="Z2" s="285"/>
      <c r="AA2" s="285"/>
      <c r="AB2" s="285"/>
      <c r="AC2" s="285"/>
      <c r="AD2" s="285"/>
      <c r="AE2" s="285"/>
      <c r="AF2" s="285"/>
      <c r="AG2" s="285"/>
      <c r="AH2" s="285"/>
      <c r="AI2" s="285"/>
      <c r="AJ2" s="285"/>
      <c r="AK2" s="285"/>
      <c r="AL2" s="285"/>
    </row>
    <row r="3" spans="1:48" ht="20" customHeight="1" x14ac:dyDescent="0.2">
      <c r="B3" s="283" t="s">
        <v>145</v>
      </c>
      <c r="C3" s="283"/>
      <c r="D3" s="283"/>
      <c r="E3" s="283"/>
      <c r="F3" s="283"/>
      <c r="G3" s="283"/>
      <c r="H3" s="283"/>
      <c r="I3" s="283"/>
      <c r="J3" s="283"/>
      <c r="K3" s="283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</row>
    <row r="4" spans="1:48" ht="9.75" customHeight="1" x14ac:dyDescent="0.55000000000000004">
      <c r="B4" s="284"/>
      <c r="C4" s="284"/>
      <c r="D4" s="284"/>
      <c r="E4" s="284"/>
      <c r="F4" s="284"/>
      <c r="G4" s="284"/>
      <c r="H4" s="284"/>
      <c r="I4" s="284"/>
      <c r="J4" s="284"/>
      <c r="K4" s="284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</row>
    <row r="5" spans="1:48" ht="21" x14ac:dyDescent="0.25">
      <c r="A5" s="210"/>
      <c r="B5" s="284"/>
      <c r="C5" s="284"/>
      <c r="D5" s="284"/>
      <c r="E5" s="284"/>
      <c r="F5" s="284"/>
      <c r="G5" s="284"/>
      <c r="H5" s="284"/>
      <c r="I5" s="284"/>
      <c r="J5" s="284"/>
      <c r="K5" s="284"/>
    </row>
    <row r="6" spans="1:48" ht="21" x14ac:dyDescent="0.25">
      <c r="A6" s="210"/>
      <c r="G6" s="211"/>
      <c r="H6" s="212"/>
      <c r="I6" s="213"/>
    </row>
    <row r="7" spans="1:48" ht="31" x14ac:dyDescent="0.35">
      <c r="A7" s="210"/>
      <c r="B7" s="214" t="s">
        <v>120</v>
      </c>
      <c r="G7" s="210"/>
    </row>
    <row r="8" spans="1:48" ht="54" x14ac:dyDescent="0.25">
      <c r="A8" s="210"/>
      <c r="B8" s="170" t="s">
        <v>146</v>
      </c>
      <c r="C8" s="171"/>
      <c r="D8" s="171"/>
      <c r="E8" s="171"/>
      <c r="F8" s="172" t="s">
        <v>147</v>
      </c>
      <c r="G8" s="210"/>
    </row>
    <row r="9" spans="1:48" ht="26" x14ac:dyDescent="0.3">
      <c r="A9" s="210"/>
      <c r="B9" s="173" t="s">
        <v>114</v>
      </c>
      <c r="C9" s="174"/>
      <c r="D9" s="174"/>
      <c r="E9" s="174"/>
      <c r="F9" s="175">
        <f>SUBTOTAL(9,F10:F11)</f>
        <v>16120</v>
      </c>
      <c r="G9" s="210"/>
    </row>
    <row r="10" spans="1:48" ht="26" x14ac:dyDescent="0.3">
      <c r="A10" s="210"/>
      <c r="B10" s="176" t="s">
        <v>148</v>
      </c>
      <c r="C10" s="233" t="s">
        <v>149</v>
      </c>
      <c r="D10" s="234">
        <v>2.48</v>
      </c>
      <c r="E10" s="235">
        <v>6500</v>
      </c>
      <c r="F10" s="177">
        <f>D10*E10</f>
        <v>16120</v>
      </c>
      <c r="G10" s="210"/>
    </row>
    <row r="11" spans="1:48" ht="26" x14ac:dyDescent="0.3">
      <c r="A11" s="210"/>
      <c r="B11" s="178"/>
      <c r="C11" s="179"/>
      <c r="D11" s="179"/>
      <c r="E11" s="179"/>
      <c r="F11" s="180"/>
      <c r="G11" s="210"/>
    </row>
    <row r="12" spans="1:48" s="216" customFormat="1" ht="26" x14ac:dyDescent="0.3">
      <c r="A12" s="215"/>
      <c r="B12" s="203"/>
      <c r="C12" s="204"/>
      <c r="D12" s="204"/>
      <c r="E12" s="204"/>
      <c r="F12" s="205"/>
      <c r="G12" s="215"/>
      <c r="AB12" s="209"/>
      <c r="AC12" s="209"/>
      <c r="AD12" s="209"/>
      <c r="AE12" s="209"/>
      <c r="AF12" s="209"/>
      <c r="AG12" s="209"/>
      <c r="AH12" s="209"/>
      <c r="AI12" s="209"/>
      <c r="AJ12" s="209"/>
      <c r="AK12" s="209"/>
      <c r="AL12" s="209"/>
      <c r="AM12" s="209"/>
    </row>
    <row r="13" spans="1:48" ht="26" x14ac:dyDescent="0.3">
      <c r="A13" s="210"/>
      <c r="B13" s="181"/>
      <c r="C13" s="230"/>
      <c r="D13" s="208"/>
      <c r="E13" s="208"/>
      <c r="F13" s="182"/>
      <c r="G13" s="210"/>
      <c r="AB13" s="216"/>
      <c r="AC13" s="216"/>
      <c r="AD13" s="216"/>
      <c r="AE13" s="216"/>
      <c r="AF13" s="216"/>
      <c r="AG13" s="216"/>
      <c r="AH13" s="216"/>
      <c r="AI13" s="216"/>
      <c r="AJ13" s="216"/>
      <c r="AK13" s="216"/>
      <c r="AL13" s="216"/>
      <c r="AM13" s="216"/>
      <c r="AN13" s="216"/>
    </row>
    <row r="14" spans="1:48" ht="27" x14ac:dyDescent="0.3">
      <c r="A14" s="210"/>
      <c r="B14" s="206" t="s">
        <v>1</v>
      </c>
      <c r="C14" s="183" t="s">
        <v>109</v>
      </c>
      <c r="D14" s="183"/>
      <c r="E14" s="183"/>
      <c r="F14" s="207">
        <f>'Almonds Margin - Alternative'!BO7+F18</f>
        <v>14060.132</v>
      </c>
      <c r="G14" s="210"/>
      <c r="AO14" s="282"/>
      <c r="AP14" s="282"/>
      <c r="AQ14" s="282"/>
      <c r="AR14" s="282"/>
      <c r="AS14" s="282"/>
      <c r="AT14" s="282"/>
      <c r="AU14" s="282"/>
      <c r="AV14" s="282"/>
    </row>
    <row r="15" spans="1:48" ht="26" x14ac:dyDescent="0.3">
      <c r="A15" s="210"/>
      <c r="B15" s="174" t="s">
        <v>10</v>
      </c>
      <c r="C15" s="184" t="s">
        <v>150</v>
      </c>
      <c r="D15" s="236">
        <v>557.54999999999995</v>
      </c>
      <c r="E15" s="237">
        <v>5.44</v>
      </c>
      <c r="F15" s="185">
        <f>D15*E15</f>
        <v>3033.0720000000001</v>
      </c>
      <c r="G15" s="210"/>
      <c r="AN15" s="218"/>
      <c r="AO15" s="218"/>
      <c r="AP15" s="218"/>
      <c r="AQ15" s="218"/>
      <c r="AR15" s="218"/>
      <c r="AS15" s="218"/>
      <c r="AT15" s="218"/>
      <c r="AU15" s="218"/>
      <c r="AV15" s="218"/>
    </row>
    <row r="16" spans="1:48" ht="26" x14ac:dyDescent="0.3">
      <c r="A16" s="210"/>
      <c r="B16" s="174" t="s">
        <v>17</v>
      </c>
      <c r="C16" s="184" t="s">
        <v>151</v>
      </c>
      <c r="D16" s="238">
        <v>14</v>
      </c>
      <c r="E16" s="237">
        <v>99</v>
      </c>
      <c r="F16" s="185">
        <f>D16*E16</f>
        <v>1386</v>
      </c>
      <c r="G16" s="210"/>
    </row>
    <row r="17" spans="1:48" ht="26" x14ac:dyDescent="0.3">
      <c r="A17" s="210"/>
      <c r="B17" s="174" t="s">
        <v>152</v>
      </c>
      <c r="C17" s="184"/>
      <c r="D17" s="174"/>
      <c r="E17" s="186"/>
      <c r="F17" s="185">
        <f>F14-F15-F16</f>
        <v>9641.06</v>
      </c>
      <c r="G17" s="210"/>
    </row>
    <row r="18" spans="1:48" ht="26" x14ac:dyDescent="0.3">
      <c r="B18" s="174" t="s">
        <v>153</v>
      </c>
      <c r="C18" s="184" t="s">
        <v>154</v>
      </c>
      <c r="D18" s="239">
        <v>0</v>
      </c>
      <c r="E18" s="186"/>
      <c r="F18" s="185"/>
    </row>
    <row r="19" spans="1:48" x14ac:dyDescent="0.2">
      <c r="B19" s="219"/>
      <c r="C19" s="217"/>
      <c r="D19" s="202"/>
      <c r="E19" s="220"/>
    </row>
    <row r="20" spans="1:48" x14ac:dyDescent="0.2">
      <c r="B20" s="219"/>
      <c r="C20" s="217"/>
      <c r="E20" s="220"/>
      <c r="AO20" s="216"/>
      <c r="AP20" s="216"/>
      <c r="AQ20" s="216"/>
      <c r="AR20" s="216"/>
      <c r="AS20" s="216"/>
      <c r="AT20" s="216"/>
      <c r="AU20" s="216"/>
      <c r="AV20" s="216"/>
    </row>
    <row r="21" spans="1:48" x14ac:dyDescent="0.2">
      <c r="B21" s="219"/>
    </row>
    <row r="22" spans="1:48" x14ac:dyDescent="0.2">
      <c r="B22" s="219"/>
      <c r="C22" s="217"/>
      <c r="E22" s="220"/>
    </row>
    <row r="23" spans="1:48" x14ac:dyDescent="0.2">
      <c r="B23" s="219"/>
      <c r="C23" s="217"/>
      <c r="E23" s="220"/>
    </row>
    <row r="24" spans="1:48" x14ac:dyDescent="0.2">
      <c r="B24" s="219"/>
      <c r="C24" s="217"/>
      <c r="E24" s="220"/>
    </row>
    <row r="25" spans="1:48" x14ac:dyDescent="0.2">
      <c r="B25" s="219"/>
      <c r="C25" s="217"/>
      <c r="D25" s="221"/>
      <c r="E25" s="220"/>
    </row>
    <row r="26" spans="1:48" x14ac:dyDescent="0.2">
      <c r="B26" s="219"/>
      <c r="C26" s="217"/>
      <c r="E26" s="220"/>
    </row>
    <row r="27" spans="1:48" x14ac:dyDescent="0.2">
      <c r="B27" s="219"/>
      <c r="C27" s="217"/>
      <c r="E27" s="220"/>
    </row>
    <row r="28" spans="1:48" x14ac:dyDescent="0.2">
      <c r="B28" s="219"/>
      <c r="C28" s="217"/>
      <c r="E28" s="220"/>
    </row>
    <row r="29" spans="1:48" x14ac:dyDescent="0.2">
      <c r="B29" s="219"/>
      <c r="C29" s="217"/>
      <c r="E29" s="220"/>
    </row>
    <row r="30" spans="1:48" x14ac:dyDescent="0.2">
      <c r="C30" s="217"/>
      <c r="E30" s="220"/>
    </row>
    <row r="31" spans="1:48" x14ac:dyDescent="0.2">
      <c r="C31" s="217"/>
      <c r="E31" s="220"/>
    </row>
    <row r="32" spans="1:48" ht="14.5" customHeight="1" x14ac:dyDescent="0.2">
      <c r="C32" s="217"/>
      <c r="E32" s="220"/>
      <c r="M32" s="222"/>
      <c r="N32" s="222"/>
      <c r="O32" s="222"/>
      <c r="P32" s="222"/>
      <c r="Q32" s="222"/>
      <c r="R32" s="222"/>
      <c r="S32" s="222"/>
      <c r="T32" s="222"/>
    </row>
    <row r="33" spans="1:25" ht="14.5" customHeight="1" x14ac:dyDescent="0.2">
      <c r="C33" s="217"/>
      <c r="E33" s="220"/>
      <c r="M33" s="222"/>
      <c r="N33" s="222"/>
      <c r="O33" s="222"/>
      <c r="P33" s="222"/>
      <c r="Q33" s="222"/>
      <c r="R33" s="222"/>
      <c r="S33" s="222"/>
      <c r="T33" s="222"/>
    </row>
    <row r="34" spans="1:25" ht="14.5" customHeight="1" x14ac:dyDescent="0.2">
      <c r="C34" s="217"/>
      <c r="E34" s="220"/>
      <c r="M34" s="222"/>
      <c r="N34" s="222"/>
      <c r="O34" s="222"/>
      <c r="P34" s="222"/>
      <c r="Q34" s="222"/>
      <c r="R34" s="222"/>
      <c r="S34" s="222"/>
      <c r="T34" s="222"/>
    </row>
    <row r="35" spans="1:25" ht="14.5" customHeight="1" x14ac:dyDescent="0.2">
      <c r="E35" s="220"/>
      <c r="M35" s="222"/>
      <c r="N35" s="222"/>
      <c r="O35" s="222"/>
      <c r="P35" s="222"/>
      <c r="Q35" s="222"/>
      <c r="R35" s="222"/>
      <c r="S35" s="222"/>
      <c r="T35" s="222"/>
    </row>
    <row r="36" spans="1:25" ht="14.5" customHeight="1" x14ac:dyDescent="0.2">
      <c r="E36" s="220"/>
      <c r="M36" s="222"/>
      <c r="N36" s="222"/>
      <c r="O36" s="222"/>
      <c r="P36" s="222"/>
      <c r="Q36" s="222"/>
      <c r="R36" s="222"/>
      <c r="S36" s="222"/>
      <c r="T36" s="222"/>
    </row>
    <row r="37" spans="1:25" ht="14.5" customHeight="1" x14ac:dyDescent="0.2">
      <c r="M37" s="222"/>
      <c r="N37" s="222"/>
      <c r="O37" s="288"/>
      <c r="P37" s="288"/>
      <c r="Q37" s="288"/>
      <c r="R37" s="288"/>
      <c r="S37" s="222"/>
      <c r="T37" s="222"/>
    </row>
    <row r="38" spans="1:25" ht="14.5" customHeight="1" x14ac:dyDescent="0.2">
      <c r="M38" s="222"/>
      <c r="N38" s="222"/>
      <c r="O38" s="288"/>
      <c r="P38" s="288"/>
      <c r="Q38" s="288"/>
      <c r="R38" s="288"/>
      <c r="S38" s="222"/>
      <c r="T38" s="222"/>
    </row>
    <row r="39" spans="1:25" ht="14.5" customHeight="1" x14ac:dyDescent="0.2">
      <c r="M39" s="222"/>
      <c r="N39" s="222"/>
      <c r="O39" s="288"/>
      <c r="P39" s="288"/>
      <c r="Q39" s="288"/>
      <c r="R39" s="288"/>
      <c r="S39" s="222"/>
      <c r="T39" s="222"/>
    </row>
    <row r="40" spans="1:25" ht="14.5" customHeight="1" x14ac:dyDescent="0.2">
      <c r="M40" s="222"/>
      <c r="N40" s="222"/>
      <c r="O40" s="288"/>
      <c r="P40" s="288"/>
      <c r="Q40" s="288"/>
      <c r="R40" s="288"/>
      <c r="S40" s="222"/>
      <c r="T40" s="222"/>
    </row>
    <row r="41" spans="1:25" ht="14.5" customHeight="1" x14ac:dyDescent="0.2">
      <c r="M41" s="222"/>
      <c r="N41" s="222"/>
      <c r="O41" s="288"/>
      <c r="P41" s="288"/>
      <c r="Q41" s="288"/>
      <c r="R41" s="288"/>
      <c r="S41" s="222"/>
      <c r="T41" s="222"/>
    </row>
    <row r="42" spans="1:25" ht="14.5" customHeight="1" x14ac:dyDescent="0.2">
      <c r="M42" s="222"/>
      <c r="N42" s="222"/>
      <c r="O42" s="288"/>
      <c r="P42" s="288"/>
      <c r="Q42" s="288"/>
      <c r="R42" s="288"/>
      <c r="S42" s="222"/>
      <c r="T42" s="222"/>
    </row>
    <row r="43" spans="1:25" ht="14.5" customHeight="1" x14ac:dyDescent="0.2">
      <c r="M43" s="222"/>
      <c r="N43" s="222"/>
      <c r="O43" s="288"/>
      <c r="P43" s="288"/>
      <c r="Q43" s="288"/>
      <c r="R43" s="288"/>
      <c r="S43" s="222"/>
      <c r="T43" s="222"/>
    </row>
    <row r="44" spans="1:25" ht="14.5" customHeight="1" x14ac:dyDescent="0.2">
      <c r="M44" s="222"/>
      <c r="N44" s="222"/>
      <c r="O44" s="286" t="s">
        <v>155</v>
      </c>
      <c r="P44" s="286"/>
      <c r="Q44" s="286"/>
      <c r="R44" s="286"/>
      <c r="S44" s="286"/>
      <c r="T44" s="286"/>
    </row>
    <row r="45" spans="1:25" ht="14.5" customHeight="1" x14ac:dyDescent="0.2">
      <c r="M45" s="222"/>
      <c r="N45" s="222"/>
      <c r="O45" s="286"/>
      <c r="P45" s="286"/>
      <c r="Q45" s="286"/>
      <c r="R45" s="286"/>
      <c r="S45" s="286"/>
      <c r="T45" s="286"/>
    </row>
    <row r="46" spans="1:25" ht="23.25" customHeight="1" x14ac:dyDescent="0.2">
      <c r="M46" s="222"/>
      <c r="N46" s="222"/>
      <c r="O46" s="286"/>
      <c r="P46" s="286"/>
      <c r="Q46" s="286"/>
      <c r="R46" s="286"/>
      <c r="S46" s="286"/>
      <c r="T46" s="286"/>
    </row>
    <row r="47" spans="1:25" ht="14.5" customHeight="1" x14ac:dyDescent="0.2">
      <c r="A47" s="218"/>
      <c r="B47" s="218"/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222"/>
      <c r="N47" s="222"/>
      <c r="O47" s="286"/>
      <c r="P47" s="286"/>
      <c r="Q47" s="286"/>
      <c r="R47" s="286"/>
      <c r="S47" s="286"/>
      <c r="T47" s="286"/>
    </row>
    <row r="48" spans="1:25" ht="14.5" customHeight="1" x14ac:dyDescent="0.2">
      <c r="A48" s="223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2"/>
      <c r="N48" s="222"/>
      <c r="O48" s="286"/>
      <c r="P48" s="286"/>
      <c r="Q48" s="286"/>
      <c r="R48" s="286"/>
      <c r="S48" s="286"/>
      <c r="T48" s="286"/>
      <c r="U48" s="223"/>
      <c r="V48" s="223"/>
      <c r="W48" s="224"/>
      <c r="X48" s="224"/>
      <c r="Y48" s="224"/>
    </row>
    <row r="49" spans="3:23" ht="14.5" customHeight="1" x14ac:dyDescent="0.2"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2"/>
      <c r="N49" s="222"/>
      <c r="O49" s="286"/>
      <c r="P49" s="286"/>
      <c r="Q49" s="286"/>
      <c r="R49" s="286"/>
      <c r="S49" s="286"/>
      <c r="T49" s="286"/>
    </row>
    <row r="50" spans="3:23" ht="14.5" customHeight="1" x14ac:dyDescent="0.2">
      <c r="C50" s="225"/>
      <c r="D50" s="225"/>
      <c r="E50" s="225"/>
      <c r="F50" s="225"/>
      <c r="G50" s="225"/>
      <c r="M50" s="226"/>
      <c r="N50" s="226"/>
      <c r="O50" s="232"/>
      <c r="P50" s="232"/>
      <c r="Q50" s="232"/>
      <c r="R50" s="232"/>
      <c r="S50" s="226"/>
      <c r="T50" s="226"/>
    </row>
    <row r="51" spans="3:23" ht="14.5" customHeight="1" x14ac:dyDescent="0.2">
      <c r="C51" s="217"/>
      <c r="D51" s="217"/>
      <c r="E51" s="217"/>
      <c r="F51" s="217"/>
      <c r="G51" s="227"/>
      <c r="H51" s="227"/>
      <c r="I51" s="227"/>
      <c r="J51" s="227"/>
      <c r="K51" s="227"/>
      <c r="L51" s="227"/>
      <c r="M51" s="226"/>
      <c r="N51" s="226"/>
      <c r="O51" s="287">
        <f>'Main Variables'!O4</f>
        <v>1.8603774166122455</v>
      </c>
      <c r="P51" s="287"/>
      <c r="Q51" s="287"/>
      <c r="R51" s="287"/>
      <c r="S51" s="287"/>
      <c r="T51" s="287"/>
    </row>
    <row r="52" spans="3:23" ht="14.5" customHeight="1" x14ac:dyDescent="0.2">
      <c r="C52" s="228"/>
      <c r="D52" s="228"/>
      <c r="E52" s="228"/>
      <c r="F52" s="228"/>
      <c r="G52" s="229"/>
      <c r="M52" s="226"/>
      <c r="N52" s="226"/>
      <c r="O52" s="287"/>
      <c r="P52" s="287"/>
      <c r="Q52" s="287"/>
      <c r="R52" s="287"/>
      <c r="S52" s="287"/>
      <c r="T52" s="287"/>
      <c r="U52" s="217"/>
      <c r="V52" s="217"/>
      <c r="W52" s="217"/>
    </row>
    <row r="53" spans="3:23" ht="14.5" customHeight="1" x14ac:dyDescent="0.2">
      <c r="C53" s="228"/>
      <c r="D53" s="228"/>
      <c r="E53" s="228"/>
      <c r="F53" s="228"/>
      <c r="G53" s="229"/>
      <c r="M53" s="226"/>
      <c r="N53" s="226"/>
      <c r="O53" s="287"/>
      <c r="P53" s="287"/>
      <c r="Q53" s="287"/>
      <c r="R53" s="287"/>
      <c r="S53" s="287"/>
      <c r="T53" s="287"/>
      <c r="U53" s="229"/>
      <c r="V53" s="229"/>
      <c r="W53" s="229"/>
    </row>
    <row r="54" spans="3:23" ht="14.5" customHeight="1" x14ac:dyDescent="0.2">
      <c r="C54" s="228"/>
      <c r="D54" s="228"/>
      <c r="E54" s="228"/>
      <c r="F54" s="228"/>
      <c r="G54" s="229"/>
      <c r="M54" s="226"/>
      <c r="N54" s="226"/>
      <c r="O54" s="287"/>
      <c r="P54" s="287"/>
      <c r="Q54" s="287"/>
      <c r="R54" s="287"/>
      <c r="S54" s="287"/>
      <c r="T54" s="287"/>
      <c r="U54" s="229"/>
      <c r="V54" s="229"/>
      <c r="W54" s="229"/>
    </row>
    <row r="55" spans="3:23" ht="14.5" customHeight="1" x14ac:dyDescent="0.2">
      <c r="C55" s="228"/>
      <c r="D55" s="228"/>
      <c r="E55" s="228"/>
      <c r="F55" s="228"/>
      <c r="G55" s="229"/>
      <c r="M55" s="226"/>
      <c r="N55" s="226"/>
      <c r="O55" s="226"/>
      <c r="P55" s="226"/>
      <c r="Q55" s="226"/>
      <c r="R55" s="226"/>
      <c r="S55" s="226"/>
      <c r="T55" s="226"/>
      <c r="U55" s="229"/>
      <c r="V55" s="229"/>
      <c r="W55" s="229"/>
    </row>
    <row r="56" spans="3:23" ht="14.5" customHeight="1" x14ac:dyDescent="0.2">
      <c r="C56" s="228"/>
      <c r="D56" s="228"/>
      <c r="E56" s="228"/>
      <c r="F56" s="228"/>
      <c r="G56" s="229"/>
      <c r="M56" s="226"/>
      <c r="N56" s="226"/>
      <c r="O56" s="226"/>
      <c r="P56" s="226"/>
      <c r="Q56" s="226"/>
      <c r="R56" s="226"/>
      <c r="S56" s="226"/>
      <c r="T56" s="226"/>
      <c r="U56" s="229"/>
      <c r="V56" s="229"/>
      <c r="W56" s="229"/>
    </row>
    <row r="57" spans="3:23" ht="14.5" customHeight="1" x14ac:dyDescent="0.2">
      <c r="C57" s="228"/>
      <c r="D57" s="228"/>
      <c r="E57" s="228"/>
      <c r="F57" s="228"/>
      <c r="G57" s="229"/>
      <c r="M57" s="226"/>
      <c r="N57" s="226"/>
      <c r="O57" s="226"/>
      <c r="P57" s="226"/>
      <c r="Q57" s="226"/>
      <c r="R57" s="226"/>
      <c r="S57" s="226"/>
      <c r="T57" s="226"/>
      <c r="U57" s="229"/>
      <c r="V57" s="229"/>
      <c r="W57" s="229"/>
    </row>
    <row r="58" spans="3:23" ht="14.5" customHeight="1" x14ac:dyDescent="0.2">
      <c r="C58" s="228"/>
      <c r="D58" s="228"/>
      <c r="E58" s="228"/>
      <c r="F58" s="228"/>
      <c r="G58" s="229"/>
      <c r="M58" s="226"/>
      <c r="N58" s="226"/>
      <c r="O58" s="226"/>
      <c r="P58" s="226"/>
      <c r="Q58" s="226"/>
      <c r="R58" s="226"/>
      <c r="S58" s="226"/>
      <c r="T58" s="226"/>
      <c r="U58" s="229"/>
      <c r="V58" s="229"/>
      <c r="W58" s="229"/>
    </row>
    <row r="59" spans="3:23" x14ac:dyDescent="0.2">
      <c r="C59" s="228"/>
      <c r="D59" s="228"/>
      <c r="E59" s="228"/>
      <c r="F59" s="228"/>
      <c r="G59" s="229"/>
      <c r="R59" s="229"/>
      <c r="S59" s="229"/>
      <c r="T59" s="229"/>
      <c r="U59" s="229"/>
      <c r="V59" s="229"/>
      <c r="W59" s="229"/>
    </row>
    <row r="60" spans="3:23" x14ac:dyDescent="0.2">
      <c r="C60" s="228"/>
      <c r="D60" s="228"/>
      <c r="E60" s="228"/>
      <c r="F60" s="228"/>
      <c r="G60" s="229"/>
      <c r="R60" s="229"/>
      <c r="S60" s="229"/>
      <c r="T60" s="229"/>
      <c r="U60" s="229"/>
      <c r="V60" s="229"/>
      <c r="W60" s="229"/>
    </row>
    <row r="61" spans="3:23" x14ac:dyDescent="0.2">
      <c r="C61" s="228"/>
      <c r="D61" s="228"/>
      <c r="E61" s="228"/>
      <c r="F61" s="228"/>
      <c r="G61" s="229"/>
      <c r="R61" s="229"/>
      <c r="S61" s="229"/>
      <c r="T61" s="229"/>
      <c r="U61" s="229"/>
      <c r="V61" s="229"/>
      <c r="W61" s="229"/>
    </row>
    <row r="62" spans="3:23" x14ac:dyDescent="0.2">
      <c r="C62" s="228"/>
      <c r="D62" s="228"/>
      <c r="E62" s="228"/>
      <c r="F62" s="228"/>
      <c r="G62" s="229"/>
      <c r="R62" s="229"/>
      <c r="S62" s="229"/>
      <c r="T62" s="229"/>
      <c r="U62" s="229"/>
      <c r="V62" s="229"/>
      <c r="W62" s="229"/>
    </row>
    <row r="63" spans="3:23" x14ac:dyDescent="0.2">
      <c r="C63" s="228"/>
      <c r="D63" s="228"/>
      <c r="E63" s="228"/>
      <c r="F63" s="228"/>
      <c r="G63" s="229"/>
      <c r="R63" s="229"/>
      <c r="S63" s="229"/>
      <c r="T63" s="229"/>
      <c r="U63" s="229"/>
      <c r="V63" s="229"/>
      <c r="W63" s="229"/>
    </row>
    <row r="64" spans="3:23" s="306" customFormat="1" x14ac:dyDescent="0.2">
      <c r="C64" s="307"/>
      <c r="D64" s="307"/>
      <c r="E64" s="307"/>
      <c r="F64" s="307"/>
      <c r="G64" s="308"/>
      <c r="R64" s="308"/>
      <c r="S64" s="308"/>
      <c r="T64" s="308"/>
      <c r="U64" s="308"/>
      <c r="V64" s="308"/>
      <c r="W64" s="308"/>
    </row>
    <row r="65" spans="3:36" x14ac:dyDescent="0.2">
      <c r="C65" s="228"/>
      <c r="D65" s="228"/>
      <c r="E65" s="228"/>
      <c r="F65" s="228"/>
      <c r="G65" s="229"/>
      <c r="R65" s="229"/>
      <c r="S65" s="229"/>
      <c r="T65" s="229"/>
      <c r="U65" s="229"/>
      <c r="V65" s="229"/>
      <c r="W65" s="229"/>
    </row>
    <row r="66" spans="3:36" x14ac:dyDescent="0.2">
      <c r="C66" s="228"/>
      <c r="D66" s="228"/>
      <c r="E66" s="228"/>
      <c r="F66" s="228"/>
      <c r="G66" s="229"/>
      <c r="R66" s="229"/>
      <c r="S66" s="229"/>
      <c r="T66" s="229"/>
      <c r="U66" s="229"/>
      <c r="V66" s="229"/>
      <c r="W66" s="229"/>
      <c r="AA66" s="305" t="s">
        <v>215</v>
      </c>
      <c r="AB66" s="305"/>
      <c r="AC66" s="305"/>
      <c r="AD66" s="305"/>
      <c r="AE66" s="305"/>
      <c r="AF66" s="305"/>
      <c r="AG66" s="305"/>
      <c r="AH66" s="305"/>
      <c r="AI66" s="305"/>
      <c r="AJ66" s="305"/>
    </row>
    <row r="67" spans="3:36" x14ac:dyDescent="0.2">
      <c r="C67" s="228"/>
      <c r="D67" s="228"/>
      <c r="E67" s="228"/>
      <c r="F67" s="228"/>
      <c r="G67" s="229"/>
      <c r="R67" s="229"/>
      <c r="S67" s="229"/>
      <c r="T67" s="229"/>
      <c r="U67" s="229"/>
      <c r="V67" s="229"/>
      <c r="W67" s="229"/>
      <c r="AA67" s="305"/>
      <c r="AB67" s="305"/>
      <c r="AC67" s="305"/>
      <c r="AD67" s="305"/>
      <c r="AE67" s="305"/>
      <c r="AF67" s="305"/>
      <c r="AG67" s="305"/>
      <c r="AH67" s="305"/>
      <c r="AI67" s="305"/>
      <c r="AJ67" s="305"/>
    </row>
    <row r="68" spans="3:36" x14ac:dyDescent="0.2">
      <c r="C68" s="228"/>
      <c r="D68" s="228"/>
      <c r="E68" s="228"/>
      <c r="F68" s="228"/>
      <c r="G68" s="229"/>
      <c r="R68" s="229"/>
      <c r="S68" s="229"/>
      <c r="T68" s="229"/>
      <c r="U68" s="229"/>
      <c r="V68" s="229"/>
      <c r="W68" s="229"/>
      <c r="AA68" s="305"/>
      <c r="AB68" s="305"/>
      <c r="AC68" s="305"/>
      <c r="AD68" s="305"/>
      <c r="AE68" s="305"/>
      <c r="AF68" s="305"/>
      <c r="AG68" s="305"/>
      <c r="AH68" s="305"/>
      <c r="AI68" s="305"/>
      <c r="AJ68" s="305"/>
    </row>
    <row r="69" spans="3:36" x14ac:dyDescent="0.2">
      <c r="C69" s="228"/>
      <c r="D69" s="228"/>
      <c r="E69" s="228"/>
      <c r="F69" s="228"/>
      <c r="G69" s="229"/>
      <c r="R69" s="229"/>
      <c r="S69" s="229"/>
      <c r="T69" s="229"/>
      <c r="U69" s="229"/>
      <c r="V69" s="229"/>
      <c r="W69" s="229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</row>
    <row r="70" spans="3:36" x14ac:dyDescent="0.2">
      <c r="C70" s="228"/>
      <c r="D70" s="228"/>
      <c r="E70" s="228"/>
      <c r="F70" s="228"/>
      <c r="G70" s="229"/>
      <c r="R70" s="229"/>
      <c r="S70" s="229"/>
      <c r="T70" s="229"/>
      <c r="U70" s="229"/>
      <c r="V70" s="229"/>
      <c r="W70" s="229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</row>
    <row r="71" spans="3:36" x14ac:dyDescent="0.2">
      <c r="C71" s="228"/>
      <c r="D71" s="228"/>
      <c r="E71" s="228"/>
      <c r="F71" s="228"/>
      <c r="G71" s="229"/>
      <c r="R71" s="229"/>
      <c r="S71" s="229"/>
      <c r="T71" s="229"/>
      <c r="U71" s="229"/>
      <c r="V71" s="229"/>
      <c r="W71" s="229"/>
      <c r="AA71" s="305"/>
      <c r="AB71" s="305"/>
      <c r="AC71" s="305"/>
      <c r="AD71" s="305"/>
      <c r="AE71" s="305"/>
      <c r="AF71" s="305"/>
      <c r="AG71" s="305"/>
      <c r="AH71" s="305"/>
      <c r="AI71" s="305"/>
      <c r="AJ71" s="305"/>
    </row>
    <row r="72" spans="3:36" x14ac:dyDescent="0.2">
      <c r="C72" s="228"/>
      <c r="D72" s="228"/>
      <c r="E72" s="228"/>
      <c r="F72" s="228"/>
      <c r="G72" s="229"/>
      <c r="R72" s="229"/>
      <c r="S72" s="229"/>
      <c r="T72" s="229"/>
      <c r="U72" s="229"/>
      <c r="V72" s="229"/>
      <c r="W72" s="229"/>
      <c r="AA72" s="305"/>
      <c r="AB72" s="305"/>
      <c r="AC72" s="305"/>
      <c r="AD72" s="305"/>
      <c r="AE72" s="305"/>
      <c r="AF72" s="305"/>
      <c r="AG72" s="305"/>
      <c r="AH72" s="305"/>
      <c r="AI72" s="305"/>
      <c r="AJ72" s="305"/>
    </row>
    <row r="73" spans="3:36" x14ac:dyDescent="0.2">
      <c r="C73" s="228"/>
      <c r="D73" s="228"/>
      <c r="E73" s="228"/>
      <c r="F73" s="228"/>
      <c r="G73" s="229"/>
      <c r="R73" s="229"/>
      <c r="S73" s="229"/>
      <c r="T73" s="229"/>
      <c r="U73" s="229"/>
      <c r="V73" s="229"/>
      <c r="W73" s="229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</row>
    <row r="74" spans="3:36" x14ac:dyDescent="0.2">
      <c r="C74" s="228"/>
      <c r="D74" s="228"/>
      <c r="E74" s="228"/>
      <c r="F74" s="228"/>
      <c r="G74" s="229"/>
      <c r="R74" s="229"/>
      <c r="S74" s="229"/>
      <c r="T74" s="229"/>
      <c r="U74" s="229"/>
      <c r="V74" s="229"/>
      <c r="W74" s="229"/>
      <c r="AA74" s="305"/>
      <c r="AB74" s="305"/>
      <c r="AC74" s="305"/>
      <c r="AD74" s="305"/>
      <c r="AE74" s="305"/>
      <c r="AF74" s="305"/>
      <c r="AG74" s="305"/>
      <c r="AH74" s="305"/>
      <c r="AI74" s="305"/>
      <c r="AJ74" s="305"/>
    </row>
    <row r="75" spans="3:36" x14ac:dyDescent="0.2">
      <c r="C75" s="228"/>
      <c r="D75" s="228"/>
      <c r="E75" s="228"/>
      <c r="F75" s="228"/>
      <c r="G75" s="229"/>
      <c r="R75" s="229"/>
      <c r="S75" s="229"/>
      <c r="T75" s="229"/>
      <c r="U75" s="229"/>
      <c r="V75" s="229"/>
      <c r="W75" s="229"/>
    </row>
    <row r="76" spans="3:36" x14ac:dyDescent="0.2">
      <c r="C76" s="228"/>
      <c r="D76" s="228"/>
      <c r="E76" s="228"/>
      <c r="F76" s="228"/>
      <c r="G76" s="229"/>
      <c r="R76" s="229"/>
      <c r="S76" s="229"/>
      <c r="T76" s="229"/>
      <c r="U76" s="229"/>
      <c r="V76" s="229"/>
      <c r="W76" s="229"/>
    </row>
    <row r="77" spans="3:36" x14ac:dyDescent="0.2">
      <c r="C77" s="228"/>
      <c r="D77" s="228"/>
      <c r="E77" s="228"/>
      <c r="F77" s="228"/>
      <c r="G77" s="229"/>
      <c r="R77" s="229"/>
      <c r="S77" s="229"/>
      <c r="T77" s="229"/>
      <c r="U77" s="229"/>
      <c r="V77" s="229"/>
      <c r="W77" s="229"/>
    </row>
    <row r="78" spans="3:36" x14ac:dyDescent="0.2">
      <c r="C78" s="228"/>
      <c r="D78" s="228"/>
      <c r="E78" s="228"/>
      <c r="F78" s="228"/>
      <c r="G78" s="229"/>
      <c r="R78" s="229"/>
      <c r="S78" s="229"/>
      <c r="T78" s="229"/>
      <c r="U78" s="229"/>
      <c r="V78" s="229"/>
      <c r="W78" s="229"/>
    </row>
    <row r="79" spans="3:36" x14ac:dyDescent="0.2">
      <c r="C79" s="228"/>
      <c r="D79" s="228"/>
      <c r="E79" s="228"/>
      <c r="F79" s="228"/>
      <c r="G79" s="229"/>
      <c r="R79" s="229"/>
      <c r="S79" s="229"/>
      <c r="T79" s="229"/>
      <c r="U79" s="229"/>
      <c r="V79" s="229"/>
      <c r="W79" s="229"/>
    </row>
    <row r="80" spans="3:36" x14ac:dyDescent="0.2">
      <c r="C80" s="228"/>
      <c r="D80" s="228"/>
      <c r="E80" s="228"/>
      <c r="F80" s="228"/>
      <c r="G80" s="229"/>
      <c r="R80" s="229"/>
      <c r="S80" s="229"/>
      <c r="T80" s="229"/>
      <c r="U80" s="229"/>
      <c r="V80" s="229"/>
      <c r="W80" s="229"/>
    </row>
    <row r="81" spans="3:31" x14ac:dyDescent="0.2">
      <c r="C81" s="228"/>
      <c r="D81" s="228"/>
      <c r="E81" s="228"/>
      <c r="F81" s="228"/>
      <c r="G81" s="229"/>
      <c r="R81" s="229"/>
      <c r="S81" s="229"/>
      <c r="T81" s="229"/>
      <c r="U81" s="229"/>
      <c r="V81" s="229"/>
      <c r="W81" s="229"/>
    </row>
    <row r="82" spans="3:31" x14ac:dyDescent="0.2">
      <c r="Z82" s="229"/>
      <c r="AA82" s="229"/>
      <c r="AB82" s="229"/>
      <c r="AC82" s="229"/>
      <c r="AD82" s="229"/>
      <c r="AE82" s="229"/>
    </row>
    <row r="110" spans="1:22" x14ac:dyDescent="0.2">
      <c r="A110" s="223"/>
      <c r="B110" s="223"/>
      <c r="C110" s="223"/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</row>
    <row r="111" spans="1:22" x14ac:dyDescent="0.2">
      <c r="A111" s="223"/>
      <c r="B111" s="223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</row>
    <row r="112" spans="1:22" x14ac:dyDescent="0.2">
      <c r="A112" s="223"/>
      <c r="B112" s="223"/>
      <c r="C112" s="223"/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</row>
    <row r="113" spans="1:22" x14ac:dyDescent="0.2">
      <c r="A113" s="223"/>
      <c r="B113" s="223"/>
      <c r="C113" s="223"/>
      <c r="D113" s="223"/>
      <c r="E113" s="223"/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</row>
    <row r="114" spans="1:22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</row>
    <row r="115" spans="1:22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</row>
    <row r="116" spans="1:22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</row>
    <row r="117" spans="1:22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</row>
    <row r="118" spans="1:22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</row>
    <row r="119" spans="1:22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</row>
    <row r="120" spans="1:22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</row>
    <row r="121" spans="1:22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</row>
    <row r="122" spans="1:22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</row>
    <row r="123" spans="1:22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</row>
    <row r="124" spans="1:22" x14ac:dyDescent="0.2">
      <c r="A124" s="223"/>
      <c r="B124" s="223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</row>
    <row r="125" spans="1:22" x14ac:dyDescent="0.2">
      <c r="A125" s="223"/>
      <c r="B125" s="223"/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</row>
    <row r="126" spans="1:22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</row>
    <row r="127" spans="1:22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</row>
    <row r="128" spans="1:22" x14ac:dyDescent="0.2">
      <c r="A128" s="223"/>
      <c r="B128" s="223"/>
      <c r="C128" s="223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</row>
    <row r="129" spans="1:22" x14ac:dyDescent="0.2">
      <c r="A129" s="223"/>
      <c r="B129" s="223"/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</row>
    <row r="130" spans="1:22" x14ac:dyDescent="0.2">
      <c r="A130" s="223"/>
      <c r="B130" s="223"/>
      <c r="C130" s="223"/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</row>
    <row r="131" spans="1:22" x14ac:dyDescent="0.2">
      <c r="A131" s="223"/>
      <c r="B131" s="223"/>
      <c r="C131" s="223"/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</row>
    <row r="132" spans="1:22" x14ac:dyDescent="0.2">
      <c r="A132" s="223"/>
      <c r="B132" s="223"/>
      <c r="C132" s="223"/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3"/>
      <c r="S132" s="223"/>
      <c r="T132" s="223"/>
      <c r="U132" s="223"/>
      <c r="V132" s="223"/>
    </row>
    <row r="133" spans="1:22" x14ac:dyDescent="0.2">
      <c r="A133" s="223"/>
      <c r="B133" s="223"/>
      <c r="C133" s="223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</row>
    <row r="134" spans="1:22" x14ac:dyDescent="0.2">
      <c r="A134" s="223"/>
      <c r="B134" s="223"/>
      <c r="C134" s="223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</row>
    <row r="135" spans="1:22" x14ac:dyDescent="0.2">
      <c r="A135" s="223"/>
      <c r="B135" s="223"/>
      <c r="C135" s="223"/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</row>
    <row r="136" spans="1:22" x14ac:dyDescent="0.2">
      <c r="A136" s="223"/>
      <c r="B136" s="223"/>
      <c r="C136" s="223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</row>
    <row r="137" spans="1:22" x14ac:dyDescent="0.2">
      <c r="A137" s="223"/>
      <c r="B137" s="223"/>
      <c r="C137" s="223"/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</row>
    <row r="138" spans="1:22" x14ac:dyDescent="0.2">
      <c r="A138" s="223"/>
      <c r="B138" s="223"/>
      <c r="C138" s="223"/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</row>
    <row r="139" spans="1:22" x14ac:dyDescent="0.2">
      <c r="A139" s="223"/>
      <c r="B139" s="223"/>
      <c r="C139" s="223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</row>
    <row r="140" spans="1:22" x14ac:dyDescent="0.2">
      <c r="A140" s="223"/>
      <c r="B140" s="223"/>
      <c r="C140" s="223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</row>
    <row r="141" spans="1:22" x14ac:dyDescent="0.2">
      <c r="A141" s="223"/>
      <c r="B141" s="223"/>
      <c r="C141" s="223"/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</row>
    <row r="142" spans="1:22" x14ac:dyDescent="0.2">
      <c r="A142" s="223"/>
      <c r="B142" s="223"/>
      <c r="C142" s="223"/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</row>
    <row r="143" spans="1:22" x14ac:dyDescent="0.2">
      <c r="A143" s="223"/>
      <c r="B143" s="223"/>
      <c r="C143" s="223"/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</row>
    <row r="144" spans="1:22" x14ac:dyDescent="0.2">
      <c r="A144" s="223"/>
      <c r="B144" s="223"/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</row>
    <row r="145" spans="1:22" x14ac:dyDescent="0.2">
      <c r="A145" s="223"/>
      <c r="B145" s="223"/>
      <c r="C145" s="223"/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</row>
    <row r="146" spans="1:22" x14ac:dyDescent="0.2">
      <c r="A146" s="223"/>
      <c r="B146" s="223"/>
      <c r="C146" s="223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</row>
    <row r="147" spans="1:22" x14ac:dyDescent="0.2">
      <c r="A147" s="223"/>
      <c r="B147" s="223"/>
      <c r="C147" s="223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</row>
    <row r="148" spans="1:22" x14ac:dyDescent="0.2">
      <c r="A148" s="223"/>
      <c r="B148" s="223"/>
      <c r="C148" s="223"/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</row>
    <row r="149" spans="1:22" x14ac:dyDescent="0.2">
      <c r="A149" s="223"/>
      <c r="B149" s="223"/>
      <c r="C149" s="223"/>
      <c r="D149" s="223"/>
      <c r="E149" s="223"/>
      <c r="F149" s="223"/>
      <c r="G149" s="223"/>
      <c r="H149" s="223"/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</row>
    <row r="150" spans="1:22" x14ac:dyDescent="0.2">
      <c r="A150" s="223"/>
      <c r="B150" s="223"/>
      <c r="C150" s="223"/>
      <c r="D150" s="223"/>
      <c r="E150" s="223"/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</row>
    <row r="151" spans="1:22" x14ac:dyDescent="0.2">
      <c r="A151" s="223"/>
      <c r="B151" s="223"/>
      <c r="C151" s="223"/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</row>
    <row r="152" spans="1:22" x14ac:dyDescent="0.2">
      <c r="A152" s="223"/>
      <c r="B152" s="223"/>
      <c r="C152" s="223"/>
      <c r="D152" s="223"/>
      <c r="E152" s="223"/>
      <c r="F152" s="223"/>
      <c r="G152" s="223"/>
      <c r="H152" s="223"/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</row>
    <row r="153" spans="1:22" x14ac:dyDescent="0.2">
      <c r="A153" s="223"/>
      <c r="B153" s="223"/>
      <c r="C153" s="223"/>
      <c r="D153" s="223"/>
      <c r="E153" s="223"/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</row>
    <row r="154" spans="1:22" x14ac:dyDescent="0.2">
      <c r="A154" s="223"/>
      <c r="B154" s="223"/>
      <c r="C154" s="223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23"/>
      <c r="U154" s="223"/>
      <c r="V154" s="223"/>
    </row>
    <row r="155" spans="1:22" x14ac:dyDescent="0.2">
      <c r="A155" s="223"/>
      <c r="B155" s="223"/>
      <c r="C155" s="223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</row>
    <row r="156" spans="1:22" x14ac:dyDescent="0.2">
      <c r="A156" s="223"/>
      <c r="B156" s="223"/>
      <c r="C156" s="223"/>
      <c r="D156" s="223"/>
      <c r="E156" s="223"/>
      <c r="F156" s="223"/>
      <c r="G156" s="223"/>
      <c r="H156" s="223"/>
      <c r="I156" s="223"/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</row>
    <row r="157" spans="1:22" x14ac:dyDescent="0.2">
      <c r="A157" s="223"/>
      <c r="B157" s="223"/>
      <c r="C157" s="223"/>
      <c r="D157" s="223"/>
      <c r="E157" s="223"/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</row>
    <row r="158" spans="1:22" x14ac:dyDescent="0.2">
      <c r="A158" s="223"/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</row>
    <row r="159" spans="1:22" x14ac:dyDescent="0.2">
      <c r="A159" s="223"/>
      <c r="B159" s="223"/>
      <c r="C159" s="223"/>
      <c r="D159" s="223"/>
      <c r="E159" s="223"/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</row>
    <row r="160" spans="1:22" x14ac:dyDescent="0.2">
      <c r="A160" s="223"/>
      <c r="B160" s="223"/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</row>
    <row r="161" spans="1:22" x14ac:dyDescent="0.2">
      <c r="A161" s="223"/>
      <c r="B161" s="223"/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</row>
    <row r="162" spans="1:22" x14ac:dyDescent="0.2">
      <c r="A162" s="223"/>
      <c r="B162" s="223"/>
      <c r="C162" s="223"/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</row>
    <row r="163" spans="1:22" x14ac:dyDescent="0.2">
      <c r="A163" s="223"/>
      <c r="B163" s="223"/>
      <c r="C163" s="223"/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</row>
    <row r="164" spans="1:22" x14ac:dyDescent="0.2">
      <c r="A164" s="223"/>
      <c r="B164" s="223"/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</row>
    <row r="165" spans="1:22" x14ac:dyDescent="0.2">
      <c r="A165" s="223"/>
      <c r="B165" s="223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</row>
    <row r="166" spans="1:22" x14ac:dyDescent="0.2">
      <c r="A166" s="223"/>
      <c r="B166" s="223"/>
      <c r="C166" s="223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</row>
    <row r="167" spans="1:22" x14ac:dyDescent="0.2">
      <c r="A167" s="223"/>
      <c r="B167" s="223"/>
      <c r="C167" s="223"/>
      <c r="D167" s="223"/>
      <c r="E167" s="223"/>
      <c r="F167" s="223"/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</row>
    <row r="168" spans="1:22" x14ac:dyDescent="0.2">
      <c r="A168" s="223"/>
      <c r="B168" s="223"/>
      <c r="C168" s="223"/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</row>
    <row r="169" spans="1:22" x14ac:dyDescent="0.2">
      <c r="A169" s="223"/>
      <c r="B169" s="223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</row>
    <row r="170" spans="1:22" x14ac:dyDescent="0.2">
      <c r="A170" s="223"/>
      <c r="B170" s="223"/>
      <c r="C170" s="223"/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</row>
    <row r="171" spans="1:22" x14ac:dyDescent="0.2">
      <c r="A171" s="223"/>
      <c r="B171" s="223"/>
      <c r="C171" s="223"/>
      <c r="D171" s="223"/>
      <c r="E171" s="223"/>
      <c r="F171" s="223"/>
      <c r="G171" s="223"/>
      <c r="H171" s="223"/>
      <c r="I171" s="223"/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</row>
    <row r="172" spans="1:22" x14ac:dyDescent="0.2">
      <c r="A172" s="223"/>
      <c r="B172" s="223"/>
      <c r="C172" s="223"/>
      <c r="D172" s="223"/>
      <c r="E172" s="22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</row>
    <row r="173" spans="1:22" x14ac:dyDescent="0.2">
      <c r="A173" s="223"/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</row>
    <row r="174" spans="1:22" x14ac:dyDescent="0.2">
      <c r="A174" s="223"/>
      <c r="B174" s="223"/>
      <c r="C174" s="223"/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</row>
    <row r="175" spans="1:22" x14ac:dyDescent="0.2">
      <c r="A175" s="223"/>
      <c r="B175" s="223"/>
      <c r="C175" s="223"/>
      <c r="D175" s="223"/>
      <c r="E175" s="223"/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</row>
    <row r="176" spans="1:22" x14ac:dyDescent="0.2">
      <c r="A176" s="223"/>
      <c r="B176" s="223"/>
      <c r="C176" s="223"/>
      <c r="D176" s="223"/>
      <c r="E176" s="223"/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</row>
    <row r="177" spans="1:22" x14ac:dyDescent="0.2">
      <c r="A177" s="223"/>
      <c r="B177" s="223"/>
      <c r="C177" s="223"/>
      <c r="D177" s="223"/>
      <c r="E177" s="223"/>
      <c r="F177" s="223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23"/>
      <c r="U177" s="223"/>
      <c r="V177" s="223"/>
    </row>
    <row r="178" spans="1:22" x14ac:dyDescent="0.2">
      <c r="A178" s="223"/>
      <c r="B178" s="223"/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</row>
    <row r="179" spans="1:22" x14ac:dyDescent="0.2">
      <c r="A179" s="223"/>
      <c r="B179" s="223"/>
      <c r="C179" s="223"/>
      <c r="D179" s="223"/>
      <c r="E179" s="223"/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</row>
    <row r="180" spans="1:22" x14ac:dyDescent="0.2">
      <c r="A180" s="223"/>
      <c r="B180" s="223"/>
      <c r="C180" s="223"/>
      <c r="D180" s="223"/>
      <c r="E180" s="223"/>
      <c r="F180" s="223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</row>
    <row r="181" spans="1:22" x14ac:dyDescent="0.2">
      <c r="A181" s="223"/>
      <c r="B181" s="223"/>
      <c r="C181" s="223"/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</row>
    <row r="182" spans="1:22" x14ac:dyDescent="0.2">
      <c r="A182" s="223"/>
      <c r="B182" s="223"/>
      <c r="C182" s="223"/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</row>
    <row r="183" spans="1:22" x14ac:dyDescent="0.2">
      <c r="A183" s="223"/>
      <c r="B183" s="223"/>
      <c r="C183" s="223"/>
      <c r="D183" s="223"/>
      <c r="E183" s="223"/>
      <c r="F183" s="223"/>
      <c r="G183" s="223"/>
      <c r="H183" s="223"/>
      <c r="I183" s="223"/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</row>
    <row r="184" spans="1:22" x14ac:dyDescent="0.2">
      <c r="A184" s="223"/>
      <c r="B184" s="223"/>
      <c r="C184" s="223"/>
      <c r="D184" s="223"/>
      <c r="E184" s="223"/>
      <c r="F184" s="223"/>
      <c r="G184" s="223"/>
      <c r="H184" s="223"/>
      <c r="I184" s="223"/>
      <c r="J184" s="223"/>
      <c r="K184" s="223"/>
      <c r="L184" s="223"/>
      <c r="M184" s="223"/>
      <c r="N184" s="223"/>
      <c r="O184" s="223"/>
      <c r="P184" s="223"/>
      <c r="Q184" s="223"/>
      <c r="R184" s="223"/>
      <c r="S184" s="223"/>
      <c r="T184" s="223"/>
      <c r="U184" s="223"/>
      <c r="V184" s="223"/>
    </row>
    <row r="185" spans="1:22" x14ac:dyDescent="0.2">
      <c r="A185" s="223"/>
      <c r="B185" s="223"/>
      <c r="C185" s="223"/>
      <c r="D185" s="223"/>
      <c r="E185" s="223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</row>
    <row r="186" spans="1:22" x14ac:dyDescent="0.2">
      <c r="A186" s="223"/>
      <c r="B186" s="223"/>
      <c r="C186" s="223"/>
      <c r="D186" s="223"/>
      <c r="E186" s="223"/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</row>
    <row r="187" spans="1:22" x14ac:dyDescent="0.2">
      <c r="A187" s="223"/>
      <c r="B187" s="223"/>
      <c r="C187" s="223"/>
      <c r="D187" s="223"/>
      <c r="E187" s="223"/>
      <c r="F187" s="223"/>
      <c r="G187" s="223"/>
      <c r="H187" s="223"/>
      <c r="I187" s="223"/>
      <c r="J187" s="223"/>
      <c r="K187" s="223"/>
      <c r="L187" s="223"/>
      <c r="M187" s="223"/>
      <c r="N187" s="223"/>
      <c r="O187" s="223"/>
      <c r="P187" s="223"/>
      <c r="Q187" s="223"/>
      <c r="R187" s="223"/>
      <c r="S187" s="223"/>
      <c r="T187" s="223"/>
      <c r="U187" s="223"/>
      <c r="V187" s="223"/>
    </row>
    <row r="188" spans="1:22" x14ac:dyDescent="0.2">
      <c r="A188" s="223"/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  <c r="L188" s="223"/>
      <c r="M188" s="223"/>
      <c r="N188" s="223"/>
      <c r="O188" s="223"/>
      <c r="P188" s="223"/>
      <c r="Q188" s="223"/>
      <c r="R188" s="223"/>
      <c r="S188" s="223"/>
      <c r="T188" s="223"/>
      <c r="U188" s="223"/>
      <c r="V188" s="223"/>
    </row>
    <row r="189" spans="1:22" x14ac:dyDescent="0.2">
      <c r="A189" s="223"/>
      <c r="B189" s="223"/>
      <c r="C189" s="223"/>
      <c r="D189" s="223"/>
      <c r="E189" s="223"/>
      <c r="F189" s="223"/>
      <c r="G189" s="223"/>
      <c r="H189" s="223"/>
      <c r="I189" s="223"/>
      <c r="J189" s="223"/>
      <c r="K189" s="223"/>
      <c r="L189" s="223"/>
      <c r="M189" s="223"/>
      <c r="N189" s="223"/>
      <c r="O189" s="223"/>
      <c r="P189" s="223"/>
      <c r="Q189" s="223"/>
      <c r="R189" s="223"/>
      <c r="S189" s="223"/>
      <c r="T189" s="223"/>
      <c r="U189" s="223"/>
      <c r="V189" s="223"/>
    </row>
    <row r="190" spans="1:22" x14ac:dyDescent="0.2">
      <c r="A190" s="223"/>
      <c r="B190" s="223"/>
      <c r="C190" s="223"/>
      <c r="D190" s="223"/>
      <c r="E190" s="223"/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</row>
    <row r="191" spans="1:22" x14ac:dyDescent="0.2">
      <c r="A191" s="223"/>
      <c r="B191" s="223"/>
      <c r="C191" s="223"/>
      <c r="D191" s="223"/>
      <c r="E191" s="223"/>
      <c r="F191" s="223"/>
      <c r="G191" s="223"/>
      <c r="H191" s="223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</row>
    <row r="192" spans="1:22" x14ac:dyDescent="0.2">
      <c r="A192" s="223"/>
      <c r="B192" s="223"/>
      <c r="C192" s="223"/>
      <c r="D192" s="223"/>
      <c r="E192" s="223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</row>
    <row r="193" spans="1:22" x14ac:dyDescent="0.2">
      <c r="A193" s="223"/>
      <c r="B193" s="223"/>
      <c r="C193" s="223"/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</row>
    <row r="194" spans="1:22" x14ac:dyDescent="0.2">
      <c r="A194" s="223"/>
      <c r="B194" s="223"/>
      <c r="C194" s="223"/>
      <c r="D194" s="223"/>
      <c r="E194" s="223"/>
      <c r="F194" s="223"/>
      <c r="G194" s="223"/>
      <c r="H194" s="223"/>
      <c r="I194" s="223"/>
      <c r="J194" s="223"/>
      <c r="K194" s="223"/>
      <c r="L194" s="223"/>
      <c r="M194" s="223"/>
      <c r="N194" s="223"/>
      <c r="O194" s="223"/>
      <c r="P194" s="223"/>
      <c r="Q194" s="223"/>
      <c r="R194" s="223"/>
      <c r="S194" s="223"/>
      <c r="T194" s="223"/>
      <c r="U194" s="223"/>
      <c r="V194" s="223"/>
    </row>
    <row r="195" spans="1:22" x14ac:dyDescent="0.2">
      <c r="A195" s="223"/>
      <c r="B195" s="223"/>
      <c r="C195" s="223"/>
      <c r="D195" s="223"/>
      <c r="E195" s="223"/>
      <c r="F195" s="223"/>
      <c r="G195" s="223"/>
      <c r="H195" s="223"/>
      <c r="I195" s="223"/>
      <c r="J195" s="223"/>
      <c r="K195" s="223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3"/>
    </row>
    <row r="196" spans="1:22" x14ac:dyDescent="0.2">
      <c r="A196" s="223"/>
      <c r="B196" s="223"/>
      <c r="C196" s="223"/>
      <c r="D196" s="223"/>
      <c r="E196" s="223"/>
      <c r="F196" s="223"/>
      <c r="G196" s="223"/>
      <c r="H196" s="223"/>
      <c r="I196" s="223"/>
      <c r="J196" s="223"/>
      <c r="K196" s="223"/>
      <c r="L196" s="223"/>
      <c r="M196" s="223"/>
      <c r="N196" s="223"/>
      <c r="O196" s="223"/>
      <c r="P196" s="223"/>
      <c r="Q196" s="223"/>
      <c r="R196" s="223"/>
      <c r="S196" s="223"/>
      <c r="T196" s="223"/>
      <c r="U196" s="223"/>
      <c r="V196" s="223"/>
    </row>
    <row r="197" spans="1:22" x14ac:dyDescent="0.2">
      <c r="A197" s="223"/>
      <c r="B197" s="223"/>
      <c r="C197" s="223"/>
      <c r="D197" s="223"/>
      <c r="E197" s="223"/>
      <c r="F197" s="223"/>
      <c r="G197" s="223"/>
      <c r="H197" s="223"/>
      <c r="I197" s="223"/>
      <c r="J197" s="223"/>
      <c r="K197" s="223"/>
      <c r="L197" s="223"/>
      <c r="M197" s="223"/>
      <c r="N197" s="223"/>
      <c r="O197" s="223"/>
      <c r="P197" s="223"/>
      <c r="Q197" s="223"/>
      <c r="R197" s="223"/>
      <c r="S197" s="223"/>
      <c r="T197" s="223"/>
      <c r="U197" s="223"/>
      <c r="V197" s="223"/>
    </row>
    <row r="198" spans="1:22" x14ac:dyDescent="0.2">
      <c r="A198" s="223"/>
      <c r="B198" s="223"/>
      <c r="C198" s="223"/>
      <c r="D198" s="223"/>
      <c r="E198" s="223"/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23"/>
      <c r="U198" s="223"/>
      <c r="V198" s="223"/>
    </row>
    <row r="199" spans="1:22" x14ac:dyDescent="0.2">
      <c r="A199" s="223"/>
      <c r="B199" s="223"/>
      <c r="C199" s="223"/>
      <c r="D199" s="223"/>
      <c r="E199" s="223"/>
      <c r="F199" s="223"/>
      <c r="G199" s="223"/>
      <c r="H199" s="223"/>
      <c r="I199" s="223"/>
      <c r="J199" s="223"/>
      <c r="K199" s="223"/>
      <c r="L199" s="223"/>
      <c r="M199" s="223"/>
      <c r="N199" s="223"/>
      <c r="O199" s="223"/>
      <c r="P199" s="223"/>
      <c r="Q199" s="223"/>
      <c r="R199" s="223"/>
      <c r="S199" s="223"/>
      <c r="T199" s="223"/>
      <c r="U199" s="223"/>
      <c r="V199" s="223"/>
    </row>
    <row r="200" spans="1:22" x14ac:dyDescent="0.2">
      <c r="A200" s="223"/>
      <c r="B200" s="223"/>
      <c r="C200" s="223"/>
      <c r="D200" s="223"/>
      <c r="E200" s="223"/>
      <c r="F200" s="223"/>
      <c r="G200" s="223"/>
      <c r="H200" s="223"/>
      <c r="I200" s="223"/>
      <c r="J200" s="223"/>
      <c r="K200" s="223"/>
      <c r="L200" s="223"/>
      <c r="M200" s="223"/>
      <c r="N200" s="223"/>
      <c r="O200" s="223"/>
      <c r="P200" s="223"/>
      <c r="Q200" s="223"/>
      <c r="R200" s="223"/>
      <c r="S200" s="223"/>
      <c r="T200" s="223"/>
      <c r="U200" s="223"/>
      <c r="V200" s="223"/>
    </row>
    <row r="201" spans="1:22" x14ac:dyDescent="0.2">
      <c r="A201" s="223"/>
      <c r="B201" s="223"/>
      <c r="C201" s="223"/>
      <c r="D201" s="223"/>
      <c r="E201" s="223"/>
      <c r="F201" s="223"/>
      <c r="G201" s="223"/>
      <c r="H201" s="223"/>
      <c r="I201" s="223"/>
      <c r="J201" s="223"/>
      <c r="K201" s="223"/>
      <c r="L201" s="223"/>
      <c r="M201" s="223"/>
      <c r="N201" s="223"/>
      <c r="O201" s="223"/>
      <c r="P201" s="223"/>
      <c r="Q201" s="223"/>
      <c r="R201" s="223"/>
      <c r="S201" s="223"/>
      <c r="T201" s="223"/>
      <c r="U201" s="223"/>
      <c r="V201" s="223"/>
    </row>
    <row r="202" spans="1:22" x14ac:dyDescent="0.2">
      <c r="A202" s="223"/>
      <c r="B202" s="223"/>
      <c r="C202" s="223"/>
      <c r="D202" s="223"/>
      <c r="E202" s="223"/>
      <c r="F202" s="223"/>
      <c r="G202" s="223"/>
      <c r="H202" s="223"/>
      <c r="I202" s="223"/>
      <c r="J202" s="223"/>
      <c r="K202" s="223"/>
      <c r="L202" s="223"/>
      <c r="M202" s="223"/>
      <c r="N202" s="223"/>
      <c r="O202" s="223"/>
      <c r="P202" s="223"/>
      <c r="Q202" s="223"/>
      <c r="R202" s="223"/>
      <c r="S202" s="223"/>
      <c r="T202" s="223"/>
      <c r="U202" s="223"/>
      <c r="V202" s="223"/>
    </row>
    <row r="203" spans="1:22" x14ac:dyDescent="0.2">
      <c r="A203" s="223"/>
      <c r="B203" s="223"/>
      <c r="C203" s="223"/>
      <c r="D203" s="223"/>
      <c r="E203" s="223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3"/>
      <c r="Q203" s="223"/>
      <c r="R203" s="223"/>
      <c r="S203" s="223"/>
      <c r="T203" s="223"/>
      <c r="U203" s="223"/>
      <c r="V203" s="223"/>
    </row>
    <row r="204" spans="1:22" x14ac:dyDescent="0.2">
      <c r="A204" s="223"/>
      <c r="B204" s="223"/>
      <c r="C204" s="223"/>
      <c r="D204" s="223"/>
      <c r="E204" s="223"/>
      <c r="F204" s="223"/>
      <c r="G204" s="223"/>
      <c r="H204" s="223"/>
      <c r="I204" s="223"/>
      <c r="J204" s="223"/>
      <c r="K204" s="223"/>
      <c r="L204" s="223"/>
      <c r="M204" s="223"/>
      <c r="N204" s="223"/>
      <c r="O204" s="223"/>
      <c r="P204" s="223"/>
      <c r="Q204" s="223"/>
      <c r="R204" s="223"/>
      <c r="S204" s="223"/>
      <c r="T204" s="223"/>
      <c r="U204" s="223"/>
      <c r="V204" s="223"/>
    </row>
    <row r="205" spans="1:22" x14ac:dyDescent="0.2">
      <c r="A205" s="223"/>
      <c r="B205" s="223"/>
      <c r="C205" s="223"/>
      <c r="D205" s="223"/>
      <c r="E205" s="223"/>
      <c r="F205" s="223"/>
      <c r="G205" s="223"/>
      <c r="H205" s="223"/>
      <c r="I205" s="223"/>
      <c r="J205" s="223"/>
      <c r="K205" s="223"/>
      <c r="L205" s="223"/>
      <c r="M205" s="223"/>
      <c r="N205" s="223"/>
      <c r="O205" s="223"/>
      <c r="P205" s="223"/>
      <c r="Q205" s="223"/>
      <c r="R205" s="223"/>
      <c r="S205" s="223"/>
      <c r="T205" s="223"/>
      <c r="U205" s="223"/>
      <c r="V205" s="223"/>
    </row>
    <row r="206" spans="1:22" x14ac:dyDescent="0.2">
      <c r="A206" s="223"/>
      <c r="B206" s="223"/>
      <c r="C206" s="223"/>
      <c r="D206" s="223"/>
      <c r="E206" s="223"/>
      <c r="F206" s="223"/>
      <c r="G206" s="223"/>
      <c r="H206" s="223"/>
      <c r="I206" s="223"/>
      <c r="J206" s="223"/>
      <c r="K206" s="223"/>
      <c r="L206" s="223"/>
      <c r="M206" s="223"/>
      <c r="N206" s="223"/>
      <c r="O206" s="223"/>
      <c r="P206" s="223"/>
      <c r="Q206" s="223"/>
      <c r="R206" s="223"/>
      <c r="S206" s="223"/>
      <c r="T206" s="223"/>
      <c r="U206" s="223"/>
      <c r="V206" s="223"/>
    </row>
    <row r="207" spans="1:22" x14ac:dyDescent="0.2">
      <c r="A207" s="223"/>
      <c r="B207" s="223"/>
      <c r="C207" s="223"/>
      <c r="D207" s="223"/>
      <c r="E207" s="223"/>
      <c r="F207" s="223"/>
      <c r="G207" s="223"/>
      <c r="H207" s="223"/>
      <c r="I207" s="223"/>
      <c r="J207" s="223"/>
      <c r="K207" s="223"/>
      <c r="L207" s="223"/>
      <c r="M207" s="223"/>
      <c r="N207" s="223"/>
      <c r="O207" s="223"/>
      <c r="P207" s="223"/>
      <c r="Q207" s="223"/>
      <c r="R207" s="223"/>
      <c r="S207" s="223"/>
      <c r="T207" s="223"/>
      <c r="U207" s="223"/>
      <c r="V207" s="223"/>
    </row>
    <row r="208" spans="1:22" x14ac:dyDescent="0.2">
      <c r="A208" s="223"/>
      <c r="B208" s="223"/>
      <c r="C208" s="223"/>
      <c r="D208" s="223"/>
      <c r="E208" s="223"/>
      <c r="F208" s="223"/>
      <c r="G208" s="223"/>
      <c r="H208" s="223"/>
      <c r="I208" s="223"/>
      <c r="J208" s="223"/>
      <c r="K208" s="223"/>
      <c r="L208" s="223"/>
      <c r="M208" s="223"/>
      <c r="N208" s="223"/>
      <c r="O208" s="223"/>
      <c r="P208" s="223"/>
      <c r="Q208" s="223"/>
      <c r="R208" s="223"/>
      <c r="S208" s="223"/>
      <c r="T208" s="223"/>
      <c r="U208" s="223"/>
      <c r="V208" s="223"/>
    </row>
    <row r="209" spans="1:22" x14ac:dyDescent="0.2">
      <c r="A209" s="223"/>
      <c r="B209" s="223"/>
      <c r="C209" s="223"/>
      <c r="D209" s="223"/>
      <c r="E209" s="223"/>
      <c r="F209" s="223"/>
      <c r="G209" s="223"/>
      <c r="H209" s="223"/>
      <c r="I209" s="223"/>
      <c r="J209" s="223"/>
      <c r="K209" s="223"/>
      <c r="L209" s="223"/>
      <c r="M209" s="223"/>
      <c r="N209" s="223"/>
      <c r="O209" s="223"/>
      <c r="P209" s="223"/>
      <c r="Q209" s="223"/>
      <c r="R209" s="223"/>
      <c r="S209" s="223"/>
      <c r="T209" s="223"/>
      <c r="U209" s="223"/>
      <c r="V209" s="223"/>
    </row>
    <row r="210" spans="1:22" x14ac:dyDescent="0.2">
      <c r="A210" s="223"/>
      <c r="B210" s="223"/>
      <c r="C210" s="223"/>
      <c r="D210" s="223"/>
      <c r="E210" s="223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3"/>
      <c r="S210" s="223"/>
      <c r="T210" s="223"/>
      <c r="U210" s="223"/>
      <c r="V210" s="223"/>
    </row>
    <row r="211" spans="1:22" x14ac:dyDescent="0.2">
      <c r="A211" s="223"/>
      <c r="B211" s="223"/>
      <c r="C211" s="223"/>
      <c r="D211" s="223"/>
      <c r="E211" s="223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3"/>
      <c r="S211" s="223"/>
      <c r="T211" s="223"/>
      <c r="U211" s="223"/>
      <c r="V211" s="223"/>
    </row>
    <row r="212" spans="1:22" x14ac:dyDescent="0.2">
      <c r="A212" s="223"/>
      <c r="B212" s="223"/>
      <c r="C212" s="223"/>
      <c r="D212" s="223"/>
      <c r="E212" s="223"/>
      <c r="F212" s="223"/>
      <c r="G212" s="223"/>
      <c r="H212" s="223"/>
      <c r="I212" s="223"/>
      <c r="J212" s="223"/>
      <c r="K212" s="223"/>
      <c r="L212" s="223"/>
      <c r="M212" s="223"/>
      <c r="N212" s="223"/>
      <c r="O212" s="223"/>
      <c r="P212" s="223"/>
      <c r="Q212" s="223"/>
      <c r="R212" s="223"/>
      <c r="S212" s="223"/>
      <c r="T212" s="223"/>
      <c r="U212" s="223"/>
      <c r="V212" s="223"/>
    </row>
    <row r="213" spans="1:22" x14ac:dyDescent="0.2">
      <c r="A213" s="223"/>
      <c r="B213" s="223"/>
      <c r="C213" s="223"/>
      <c r="D213" s="223"/>
      <c r="E213" s="223"/>
      <c r="F213" s="223"/>
      <c r="G213" s="223"/>
      <c r="H213" s="223"/>
      <c r="I213" s="223"/>
      <c r="J213" s="223"/>
      <c r="K213" s="223"/>
      <c r="L213" s="223"/>
      <c r="M213" s="223"/>
      <c r="N213" s="223"/>
      <c r="O213" s="223"/>
      <c r="P213" s="223"/>
      <c r="Q213" s="223"/>
      <c r="R213" s="223"/>
      <c r="S213" s="223"/>
      <c r="T213" s="223"/>
      <c r="U213" s="223"/>
      <c r="V213" s="223"/>
    </row>
    <row r="214" spans="1:22" x14ac:dyDescent="0.2">
      <c r="A214" s="223"/>
      <c r="B214" s="223"/>
      <c r="C214" s="223"/>
      <c r="D214" s="223"/>
      <c r="E214" s="223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3"/>
      <c r="Q214" s="223"/>
      <c r="R214" s="223"/>
      <c r="S214" s="223"/>
      <c r="T214" s="223"/>
      <c r="U214" s="223"/>
      <c r="V214" s="223"/>
    </row>
    <row r="215" spans="1:22" x14ac:dyDescent="0.2">
      <c r="A215" s="223"/>
      <c r="B215" s="223"/>
      <c r="C215" s="223"/>
      <c r="D215" s="223"/>
      <c r="E215" s="223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3"/>
      <c r="V215" s="223"/>
    </row>
    <row r="216" spans="1:22" x14ac:dyDescent="0.2">
      <c r="A216" s="223"/>
      <c r="B216" s="223"/>
      <c r="C216" s="223"/>
      <c r="D216" s="223"/>
      <c r="E216" s="223"/>
      <c r="F216" s="223"/>
      <c r="G216" s="223"/>
      <c r="H216" s="223"/>
      <c r="I216" s="223"/>
      <c r="J216" s="223"/>
      <c r="K216" s="223"/>
      <c r="L216" s="223"/>
      <c r="M216" s="223"/>
      <c r="N216" s="223"/>
      <c r="O216" s="223"/>
      <c r="P216" s="223"/>
      <c r="Q216" s="223"/>
      <c r="R216" s="223"/>
      <c r="S216" s="223"/>
      <c r="T216" s="223"/>
      <c r="U216" s="223"/>
      <c r="V216" s="223"/>
    </row>
    <row r="217" spans="1:22" x14ac:dyDescent="0.2">
      <c r="A217" s="223"/>
      <c r="B217" s="223"/>
      <c r="C217" s="223"/>
      <c r="D217" s="223"/>
      <c r="E217" s="223"/>
      <c r="F217" s="223"/>
      <c r="G217" s="223"/>
      <c r="H217" s="223"/>
      <c r="I217" s="223"/>
      <c r="J217" s="223"/>
      <c r="K217" s="223"/>
      <c r="L217" s="223"/>
      <c r="M217" s="223"/>
      <c r="N217" s="223"/>
      <c r="O217" s="223"/>
      <c r="P217" s="223"/>
      <c r="Q217" s="223"/>
      <c r="R217" s="223"/>
      <c r="S217" s="223"/>
      <c r="T217" s="223"/>
      <c r="U217" s="223"/>
      <c r="V217" s="223"/>
    </row>
    <row r="218" spans="1:22" x14ac:dyDescent="0.2">
      <c r="A218" s="223"/>
      <c r="B218" s="223"/>
      <c r="C218" s="223"/>
      <c r="D218" s="223"/>
      <c r="E218" s="223"/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3"/>
      <c r="Q218" s="223"/>
      <c r="R218" s="223"/>
      <c r="S218" s="223"/>
      <c r="T218" s="223"/>
      <c r="U218" s="223"/>
      <c r="V218" s="223"/>
    </row>
    <row r="219" spans="1:22" x14ac:dyDescent="0.2">
      <c r="A219" s="223"/>
      <c r="B219" s="223"/>
      <c r="C219" s="223"/>
      <c r="D219" s="223"/>
      <c r="E219" s="223"/>
      <c r="F219" s="223"/>
      <c r="G219" s="223"/>
      <c r="H219" s="223"/>
      <c r="I219" s="223"/>
      <c r="J219" s="223"/>
      <c r="K219" s="223"/>
      <c r="L219" s="223"/>
      <c r="M219" s="223"/>
      <c r="N219" s="223"/>
      <c r="O219" s="223"/>
      <c r="P219" s="223"/>
      <c r="Q219" s="223"/>
      <c r="R219" s="223"/>
      <c r="S219" s="223"/>
      <c r="T219" s="223"/>
      <c r="U219" s="223"/>
      <c r="V219" s="223"/>
    </row>
    <row r="220" spans="1:22" x14ac:dyDescent="0.2">
      <c r="A220" s="223"/>
      <c r="B220" s="223"/>
      <c r="C220" s="223"/>
      <c r="D220" s="223"/>
      <c r="E220" s="223"/>
      <c r="F220" s="223"/>
      <c r="G220" s="223"/>
      <c r="H220" s="223"/>
      <c r="I220" s="223"/>
      <c r="J220" s="223"/>
      <c r="K220" s="223"/>
      <c r="L220" s="223"/>
      <c r="M220" s="223"/>
      <c r="N220" s="223"/>
      <c r="O220" s="223"/>
      <c r="P220" s="223"/>
      <c r="Q220" s="223"/>
      <c r="R220" s="223"/>
      <c r="S220" s="223"/>
      <c r="T220" s="223"/>
      <c r="U220" s="223"/>
      <c r="V220" s="223"/>
    </row>
    <row r="221" spans="1:22" x14ac:dyDescent="0.2">
      <c r="A221" s="223"/>
      <c r="B221" s="223"/>
      <c r="C221" s="223"/>
      <c r="D221" s="223"/>
      <c r="E221" s="223"/>
      <c r="F221" s="223"/>
      <c r="G221" s="223"/>
      <c r="H221" s="223"/>
      <c r="I221" s="223"/>
      <c r="J221" s="223"/>
      <c r="K221" s="223"/>
      <c r="L221" s="223"/>
      <c r="M221" s="223"/>
      <c r="N221" s="223"/>
      <c r="O221" s="223"/>
      <c r="P221" s="223"/>
      <c r="Q221" s="223"/>
      <c r="R221" s="223"/>
      <c r="S221" s="223"/>
      <c r="T221" s="223"/>
      <c r="U221" s="223"/>
      <c r="V221" s="223"/>
    </row>
    <row r="222" spans="1:22" x14ac:dyDescent="0.2">
      <c r="A222" s="223"/>
      <c r="B222" s="223"/>
      <c r="C222" s="223"/>
      <c r="D222" s="223"/>
      <c r="E222" s="223"/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3"/>
      <c r="R222" s="223"/>
      <c r="S222" s="223"/>
      <c r="T222" s="223"/>
      <c r="U222" s="223"/>
      <c r="V222" s="223"/>
    </row>
    <row r="223" spans="1:22" x14ac:dyDescent="0.2">
      <c r="A223" s="223"/>
      <c r="B223" s="223"/>
      <c r="C223" s="223"/>
      <c r="D223" s="223"/>
      <c r="E223" s="223"/>
      <c r="F223" s="223"/>
      <c r="G223" s="223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  <c r="S223" s="223"/>
      <c r="T223" s="223"/>
      <c r="U223" s="223"/>
      <c r="V223" s="223"/>
    </row>
    <row r="224" spans="1:22" x14ac:dyDescent="0.2">
      <c r="A224" s="223"/>
      <c r="B224" s="223"/>
      <c r="C224" s="223"/>
      <c r="D224" s="223"/>
      <c r="E224" s="223"/>
      <c r="F224" s="223"/>
      <c r="G224" s="223"/>
      <c r="H224" s="223"/>
      <c r="I224" s="223"/>
      <c r="J224" s="223"/>
      <c r="K224" s="223"/>
      <c r="L224" s="223"/>
      <c r="M224" s="223"/>
      <c r="N224" s="223"/>
      <c r="O224" s="223"/>
      <c r="P224" s="223"/>
      <c r="Q224" s="223"/>
      <c r="R224" s="223"/>
      <c r="S224" s="223"/>
      <c r="T224" s="223"/>
      <c r="U224" s="223"/>
      <c r="V224" s="223"/>
    </row>
    <row r="225" spans="1:22" x14ac:dyDescent="0.2">
      <c r="A225" s="223"/>
      <c r="B225" s="223"/>
      <c r="C225" s="223"/>
      <c r="D225" s="223"/>
      <c r="E225" s="223"/>
      <c r="F225" s="223"/>
      <c r="G225" s="223"/>
      <c r="H225" s="223"/>
      <c r="I225" s="223"/>
      <c r="J225" s="223"/>
      <c r="K225" s="223"/>
      <c r="L225" s="223"/>
      <c r="M225" s="223"/>
      <c r="N225" s="223"/>
      <c r="O225" s="223"/>
      <c r="P225" s="223"/>
      <c r="Q225" s="223"/>
      <c r="R225" s="223"/>
      <c r="S225" s="223"/>
      <c r="T225" s="223"/>
      <c r="U225" s="223"/>
      <c r="V225" s="223"/>
    </row>
    <row r="226" spans="1:22" x14ac:dyDescent="0.2">
      <c r="A226" s="223"/>
      <c r="B226" s="223"/>
      <c r="C226" s="223"/>
      <c r="D226" s="223"/>
      <c r="E226" s="223"/>
      <c r="F226" s="223"/>
      <c r="G226" s="223"/>
      <c r="H226" s="223"/>
      <c r="I226" s="223"/>
      <c r="J226" s="223"/>
      <c r="K226" s="223"/>
      <c r="L226" s="223"/>
      <c r="M226" s="223"/>
      <c r="N226" s="223"/>
      <c r="O226" s="223"/>
      <c r="P226" s="223"/>
      <c r="Q226" s="223"/>
      <c r="R226" s="223"/>
      <c r="S226" s="223"/>
      <c r="T226" s="223"/>
      <c r="U226" s="223"/>
      <c r="V226" s="223"/>
    </row>
    <row r="227" spans="1:22" x14ac:dyDescent="0.2">
      <c r="A227" s="223"/>
      <c r="B227" s="223"/>
      <c r="C227" s="223"/>
      <c r="D227" s="223"/>
      <c r="E227" s="223"/>
      <c r="F227" s="223"/>
      <c r="G227" s="223"/>
      <c r="H227" s="223"/>
      <c r="I227" s="223"/>
      <c r="J227" s="223"/>
      <c r="K227" s="223"/>
      <c r="L227" s="223"/>
      <c r="M227" s="223"/>
      <c r="N227" s="223"/>
      <c r="O227" s="223"/>
      <c r="P227" s="223"/>
      <c r="Q227" s="223"/>
      <c r="R227" s="223"/>
      <c r="S227" s="223"/>
      <c r="T227" s="223"/>
      <c r="U227" s="223"/>
      <c r="V227" s="223"/>
    </row>
    <row r="228" spans="1:22" x14ac:dyDescent="0.2">
      <c r="A228" s="223"/>
      <c r="B228" s="223"/>
      <c r="C228" s="223"/>
      <c r="D228" s="223"/>
      <c r="E228" s="223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3"/>
      <c r="U228" s="223"/>
      <c r="V228" s="223"/>
    </row>
    <row r="229" spans="1:22" x14ac:dyDescent="0.2">
      <c r="A229" s="223"/>
      <c r="B229" s="223"/>
      <c r="C229" s="223"/>
      <c r="D229" s="223"/>
      <c r="E229" s="223"/>
      <c r="F229" s="223"/>
      <c r="G229" s="223"/>
      <c r="H229" s="223"/>
      <c r="I229" s="223"/>
      <c r="J229" s="223"/>
      <c r="K229" s="223"/>
      <c r="L229" s="223"/>
      <c r="M229" s="223"/>
      <c r="N229" s="223"/>
      <c r="O229" s="223"/>
      <c r="P229" s="223"/>
      <c r="Q229" s="223"/>
      <c r="R229" s="223"/>
      <c r="S229" s="223"/>
      <c r="T229" s="223"/>
      <c r="U229" s="223"/>
      <c r="V229" s="223"/>
    </row>
    <row r="230" spans="1:22" x14ac:dyDescent="0.2">
      <c r="A230" s="223"/>
      <c r="B230" s="223"/>
      <c r="C230" s="223"/>
      <c r="D230" s="223"/>
      <c r="E230" s="223"/>
      <c r="F230" s="223"/>
      <c r="G230" s="223"/>
      <c r="H230" s="223"/>
      <c r="I230" s="223"/>
      <c r="J230" s="223"/>
      <c r="K230" s="223"/>
      <c r="L230" s="223"/>
      <c r="M230" s="223"/>
      <c r="N230" s="223"/>
      <c r="O230" s="223"/>
      <c r="P230" s="223"/>
      <c r="Q230" s="223"/>
      <c r="R230" s="223"/>
      <c r="S230" s="223"/>
      <c r="T230" s="223"/>
      <c r="U230" s="223"/>
      <c r="V230" s="223"/>
    </row>
    <row r="231" spans="1:22" x14ac:dyDescent="0.2">
      <c r="A231" s="223"/>
      <c r="B231" s="223"/>
      <c r="C231" s="223"/>
      <c r="D231" s="223"/>
      <c r="E231" s="223"/>
      <c r="F231" s="223"/>
      <c r="G231" s="223"/>
      <c r="H231" s="223"/>
      <c r="I231" s="223"/>
      <c r="J231" s="223"/>
      <c r="K231" s="223"/>
      <c r="L231" s="223"/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</row>
    <row r="232" spans="1:22" x14ac:dyDescent="0.2">
      <c r="A232" s="223"/>
      <c r="B232" s="223"/>
      <c r="C232" s="223"/>
      <c r="D232" s="223"/>
      <c r="E232" s="223"/>
      <c r="F232" s="223"/>
      <c r="G232" s="223"/>
      <c r="H232" s="223"/>
      <c r="I232" s="223"/>
      <c r="J232" s="223"/>
      <c r="K232" s="223"/>
      <c r="L232" s="223"/>
      <c r="M232" s="223"/>
      <c r="N232" s="223"/>
      <c r="O232" s="223"/>
      <c r="P232" s="223"/>
      <c r="Q232" s="223"/>
      <c r="R232" s="223"/>
      <c r="S232" s="223"/>
      <c r="T232" s="223"/>
      <c r="U232" s="223"/>
      <c r="V232" s="223"/>
    </row>
    <row r="233" spans="1:22" x14ac:dyDescent="0.2">
      <c r="A233" s="223"/>
      <c r="B233" s="223"/>
      <c r="C233" s="223"/>
      <c r="D233" s="223"/>
      <c r="E233" s="223"/>
      <c r="F233" s="223"/>
      <c r="G233" s="223"/>
      <c r="H233" s="223"/>
      <c r="I233" s="223"/>
      <c r="J233" s="223"/>
      <c r="K233" s="223"/>
      <c r="L233" s="223"/>
      <c r="M233" s="223"/>
      <c r="N233" s="223"/>
      <c r="O233" s="223"/>
      <c r="P233" s="223"/>
      <c r="Q233" s="223"/>
      <c r="R233" s="223"/>
      <c r="S233" s="223"/>
      <c r="T233" s="223"/>
      <c r="U233" s="223"/>
      <c r="V233" s="223"/>
    </row>
    <row r="234" spans="1:22" x14ac:dyDescent="0.2">
      <c r="A234" s="223"/>
      <c r="B234" s="223"/>
      <c r="C234" s="223"/>
      <c r="D234" s="223"/>
      <c r="E234" s="223"/>
      <c r="F234" s="223"/>
      <c r="G234" s="223"/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</row>
    <row r="235" spans="1:22" x14ac:dyDescent="0.2">
      <c r="A235" s="223"/>
      <c r="B235" s="223"/>
      <c r="C235" s="223"/>
      <c r="D235" s="223"/>
      <c r="E235" s="223"/>
      <c r="F235" s="223"/>
      <c r="G235" s="223"/>
      <c r="H235" s="223"/>
      <c r="I235" s="223"/>
      <c r="J235" s="223"/>
      <c r="K235" s="223"/>
      <c r="L235" s="223"/>
      <c r="M235" s="223"/>
      <c r="N235" s="223"/>
      <c r="O235" s="223"/>
      <c r="P235" s="223"/>
      <c r="Q235" s="223"/>
      <c r="R235" s="223"/>
      <c r="S235" s="223"/>
      <c r="T235" s="223"/>
      <c r="U235" s="223"/>
      <c r="V235" s="223"/>
    </row>
    <row r="236" spans="1:22" x14ac:dyDescent="0.2">
      <c r="A236" s="223"/>
      <c r="B236" s="223"/>
      <c r="C236" s="223"/>
      <c r="D236" s="223"/>
      <c r="E236" s="223"/>
      <c r="F236" s="223"/>
      <c r="G236" s="223"/>
      <c r="H236" s="223"/>
      <c r="I236" s="223"/>
      <c r="J236" s="223"/>
      <c r="K236" s="223"/>
      <c r="L236" s="223"/>
      <c r="M236" s="223"/>
      <c r="N236" s="223"/>
      <c r="O236" s="223"/>
      <c r="P236" s="223"/>
      <c r="Q236" s="223"/>
      <c r="R236" s="223"/>
      <c r="S236" s="223"/>
      <c r="T236" s="223"/>
      <c r="U236" s="223"/>
      <c r="V236" s="223"/>
    </row>
    <row r="237" spans="1:22" x14ac:dyDescent="0.2">
      <c r="A237" s="223"/>
      <c r="B237" s="223"/>
      <c r="C237" s="223"/>
      <c r="D237" s="223"/>
      <c r="E237" s="223"/>
      <c r="F237" s="223"/>
      <c r="G237" s="223"/>
      <c r="H237" s="223"/>
      <c r="I237" s="223"/>
      <c r="J237" s="223"/>
      <c r="K237" s="223"/>
      <c r="L237" s="223"/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</row>
    <row r="238" spans="1:22" x14ac:dyDescent="0.2">
      <c r="A238" s="223"/>
      <c r="B238" s="223"/>
      <c r="C238" s="223"/>
      <c r="D238" s="223"/>
      <c r="E238" s="223"/>
      <c r="F238" s="223"/>
      <c r="G238" s="223"/>
      <c r="H238" s="223"/>
      <c r="I238" s="223"/>
      <c r="J238" s="223"/>
      <c r="K238" s="223"/>
      <c r="L238" s="223"/>
      <c r="M238" s="223"/>
      <c r="N238" s="223"/>
      <c r="O238" s="223"/>
      <c r="P238" s="223"/>
      <c r="Q238" s="223"/>
      <c r="R238" s="223"/>
      <c r="S238" s="223"/>
      <c r="T238" s="223"/>
      <c r="U238" s="223"/>
      <c r="V238" s="223"/>
    </row>
    <row r="239" spans="1:22" x14ac:dyDescent="0.2">
      <c r="A239" s="223"/>
      <c r="B239" s="223"/>
      <c r="C239" s="223"/>
      <c r="D239" s="223"/>
      <c r="E239" s="223"/>
      <c r="F239" s="223"/>
      <c r="G239" s="223"/>
      <c r="H239" s="223"/>
      <c r="I239" s="223"/>
      <c r="J239" s="223"/>
      <c r="K239" s="223"/>
      <c r="L239" s="223"/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</row>
    <row r="240" spans="1:22" x14ac:dyDescent="0.2">
      <c r="A240" s="223"/>
      <c r="B240" s="223"/>
      <c r="C240" s="223"/>
      <c r="D240" s="223"/>
      <c r="E240" s="223"/>
      <c r="F240" s="223"/>
      <c r="G240" s="223"/>
      <c r="H240" s="223"/>
      <c r="I240" s="223"/>
      <c r="J240" s="223"/>
      <c r="K240" s="223"/>
      <c r="L240" s="223"/>
      <c r="M240" s="223"/>
      <c r="N240" s="223"/>
      <c r="O240" s="223"/>
      <c r="P240" s="223"/>
      <c r="Q240" s="223"/>
      <c r="R240" s="223"/>
      <c r="S240" s="223"/>
      <c r="T240" s="223"/>
      <c r="U240" s="223"/>
      <c r="V240" s="223"/>
    </row>
    <row r="241" spans="1:22" x14ac:dyDescent="0.2">
      <c r="A241" s="223"/>
      <c r="B241" s="223"/>
      <c r="C241" s="223"/>
      <c r="D241" s="223"/>
      <c r="E241" s="223"/>
      <c r="F241" s="223"/>
      <c r="G241" s="223"/>
      <c r="H241" s="223"/>
      <c r="I241" s="223"/>
      <c r="J241" s="223"/>
      <c r="K241" s="223"/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</row>
    <row r="242" spans="1:22" x14ac:dyDescent="0.2">
      <c r="A242" s="223"/>
      <c r="B242" s="223"/>
      <c r="C242" s="223"/>
      <c r="D242" s="223"/>
      <c r="E242" s="223"/>
      <c r="F242" s="223"/>
      <c r="G242" s="223"/>
      <c r="H242" s="223"/>
      <c r="I242" s="223"/>
      <c r="J242" s="223"/>
      <c r="K242" s="223"/>
      <c r="L242" s="223"/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</row>
    <row r="243" spans="1:22" x14ac:dyDescent="0.2">
      <c r="A243" s="223"/>
      <c r="B243" s="223"/>
      <c r="C243" s="223"/>
      <c r="D243" s="223"/>
      <c r="E243" s="223"/>
      <c r="F243" s="223"/>
      <c r="G243" s="223"/>
      <c r="H243" s="223"/>
      <c r="I243" s="223"/>
      <c r="J243" s="223"/>
      <c r="K243" s="223"/>
      <c r="L243" s="223"/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</row>
    <row r="244" spans="1:22" x14ac:dyDescent="0.2">
      <c r="A244" s="223"/>
      <c r="B244" s="223"/>
      <c r="C244" s="223"/>
      <c r="D244" s="223"/>
      <c r="E244" s="223"/>
      <c r="F244" s="223"/>
      <c r="G244" s="223"/>
      <c r="H244" s="223"/>
      <c r="I244" s="223"/>
      <c r="J244" s="223"/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</row>
    <row r="245" spans="1:22" x14ac:dyDescent="0.2">
      <c r="A245" s="223"/>
      <c r="B245" s="223"/>
      <c r="C245" s="223"/>
      <c r="D245" s="223"/>
      <c r="E245" s="223"/>
      <c r="F245" s="223"/>
      <c r="G245" s="223"/>
      <c r="H245" s="223"/>
      <c r="I245" s="223"/>
      <c r="J245" s="223"/>
      <c r="K245" s="223"/>
      <c r="L245" s="223"/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</row>
    <row r="246" spans="1:22" x14ac:dyDescent="0.2">
      <c r="A246" s="223"/>
      <c r="B246" s="223"/>
      <c r="C246" s="223"/>
      <c r="D246" s="223"/>
      <c r="E246" s="223"/>
      <c r="F246" s="223"/>
      <c r="G246" s="223"/>
      <c r="H246" s="223"/>
      <c r="I246" s="223"/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</row>
    <row r="247" spans="1:22" x14ac:dyDescent="0.2">
      <c r="A247" s="223"/>
      <c r="B247" s="223"/>
      <c r="C247" s="223"/>
      <c r="D247" s="223"/>
      <c r="E247" s="223"/>
      <c r="F247" s="223"/>
      <c r="G247" s="223"/>
      <c r="H247" s="223"/>
      <c r="I247" s="223"/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</row>
    <row r="248" spans="1:22" x14ac:dyDescent="0.2">
      <c r="A248" s="223"/>
      <c r="B248" s="223"/>
      <c r="C248" s="223"/>
      <c r="D248" s="223"/>
      <c r="E248" s="223"/>
      <c r="F248" s="223"/>
      <c r="G248" s="223"/>
      <c r="H248" s="223"/>
      <c r="I248" s="223"/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</row>
    <row r="249" spans="1:22" x14ac:dyDescent="0.2">
      <c r="A249" s="223"/>
      <c r="B249" s="223"/>
      <c r="C249" s="223"/>
      <c r="D249" s="223"/>
      <c r="E249" s="223"/>
      <c r="F249" s="223"/>
      <c r="G249" s="223"/>
      <c r="H249" s="223"/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</row>
    <row r="250" spans="1:22" x14ac:dyDescent="0.2">
      <c r="A250" s="223"/>
      <c r="B250" s="223"/>
      <c r="C250" s="223"/>
      <c r="D250" s="223"/>
      <c r="E250" s="223"/>
      <c r="F250" s="223"/>
      <c r="G250" s="223"/>
      <c r="H250" s="223"/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</row>
    <row r="251" spans="1:22" x14ac:dyDescent="0.2">
      <c r="A251" s="223"/>
      <c r="B251" s="223"/>
      <c r="C251" s="223"/>
      <c r="D251" s="223"/>
      <c r="E251" s="223"/>
      <c r="F251" s="223"/>
      <c r="G251" s="223"/>
      <c r="H251" s="223"/>
      <c r="I251" s="223"/>
      <c r="J251" s="223"/>
      <c r="K251" s="223"/>
      <c r="L251" s="223"/>
      <c r="M251" s="223"/>
      <c r="N251" s="223"/>
      <c r="O251" s="223"/>
      <c r="P251" s="223"/>
      <c r="Q251" s="223"/>
      <c r="R251" s="223"/>
      <c r="S251" s="223"/>
      <c r="T251" s="223"/>
      <c r="U251" s="223"/>
      <c r="V251" s="223"/>
    </row>
    <row r="252" spans="1:22" x14ac:dyDescent="0.2">
      <c r="A252" s="223"/>
      <c r="B252" s="223"/>
      <c r="C252" s="223"/>
      <c r="D252" s="223"/>
      <c r="E252" s="223"/>
      <c r="F252" s="223"/>
      <c r="G252" s="223"/>
      <c r="H252" s="223"/>
      <c r="I252" s="223"/>
      <c r="J252" s="223"/>
      <c r="K252" s="223"/>
      <c r="L252" s="223"/>
      <c r="M252" s="223"/>
      <c r="N252" s="223"/>
      <c r="O252" s="223"/>
      <c r="P252" s="223"/>
      <c r="Q252" s="223"/>
      <c r="R252" s="223"/>
      <c r="S252" s="223"/>
      <c r="T252" s="223"/>
      <c r="U252" s="223"/>
      <c r="V252" s="223"/>
    </row>
    <row r="253" spans="1:22" x14ac:dyDescent="0.2">
      <c r="A253" s="223"/>
      <c r="B253" s="223"/>
      <c r="C253" s="223"/>
      <c r="D253" s="223"/>
      <c r="E253" s="223"/>
      <c r="F253" s="223"/>
      <c r="G253" s="223"/>
      <c r="H253" s="223"/>
      <c r="I253" s="223"/>
      <c r="J253" s="223"/>
      <c r="K253" s="223"/>
      <c r="L253" s="223"/>
      <c r="M253" s="223"/>
      <c r="N253" s="223"/>
      <c r="O253" s="223"/>
      <c r="P253" s="223"/>
      <c r="Q253" s="223"/>
      <c r="R253" s="223"/>
      <c r="S253" s="223"/>
      <c r="T253" s="223"/>
      <c r="U253" s="223"/>
      <c r="V253" s="223"/>
    </row>
    <row r="254" spans="1:22" x14ac:dyDescent="0.2">
      <c r="A254" s="223"/>
      <c r="B254" s="223"/>
      <c r="C254" s="223"/>
      <c r="D254" s="223"/>
      <c r="E254" s="223"/>
      <c r="F254" s="223"/>
      <c r="G254" s="223"/>
      <c r="H254" s="223"/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</row>
    <row r="255" spans="1:22" x14ac:dyDescent="0.2">
      <c r="A255" s="223"/>
      <c r="B255" s="223"/>
      <c r="C255" s="223"/>
      <c r="D255" s="223"/>
      <c r="E255" s="223"/>
      <c r="F255" s="223"/>
      <c r="G255" s="223"/>
      <c r="H255" s="223"/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</row>
    <row r="256" spans="1:22" x14ac:dyDescent="0.2">
      <c r="A256" s="223"/>
      <c r="B256" s="223"/>
      <c r="C256" s="223"/>
      <c r="D256" s="223"/>
      <c r="E256" s="223"/>
      <c r="F256" s="223"/>
      <c r="G256" s="223"/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3"/>
      <c r="S256" s="223"/>
      <c r="T256" s="223"/>
      <c r="U256" s="223"/>
      <c r="V256" s="223"/>
    </row>
    <row r="257" spans="1:22" x14ac:dyDescent="0.2">
      <c r="A257" s="223"/>
      <c r="B257" s="223"/>
      <c r="C257" s="223"/>
      <c r="D257" s="223"/>
      <c r="E257" s="223"/>
      <c r="F257" s="223"/>
      <c r="G257" s="223"/>
      <c r="H257" s="223"/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</row>
    <row r="258" spans="1:22" x14ac:dyDescent="0.2">
      <c r="A258" s="223"/>
      <c r="B258" s="223"/>
      <c r="C258" s="223"/>
      <c r="D258" s="223"/>
      <c r="E258" s="223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</row>
    <row r="259" spans="1:22" x14ac:dyDescent="0.2">
      <c r="A259" s="223"/>
      <c r="B259" s="223"/>
      <c r="C259" s="223"/>
      <c r="D259" s="223"/>
      <c r="E259" s="223"/>
      <c r="F259" s="223"/>
      <c r="G259" s="223"/>
      <c r="H259" s="223"/>
      <c r="I259" s="223"/>
      <c r="J259" s="223"/>
      <c r="K259" s="223"/>
      <c r="L259" s="223"/>
      <c r="M259" s="223"/>
      <c r="N259" s="223"/>
      <c r="O259" s="223"/>
      <c r="P259" s="223"/>
      <c r="Q259" s="223"/>
      <c r="R259" s="223"/>
      <c r="S259" s="223"/>
      <c r="T259" s="223"/>
      <c r="U259" s="223"/>
      <c r="V259" s="223"/>
    </row>
    <row r="260" spans="1:22" x14ac:dyDescent="0.2">
      <c r="A260" s="223"/>
      <c r="B260" s="223"/>
      <c r="C260" s="223"/>
      <c r="D260" s="223"/>
      <c r="E260" s="223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3"/>
      <c r="S260" s="223"/>
      <c r="T260" s="223"/>
      <c r="U260" s="223"/>
      <c r="V260" s="223"/>
    </row>
    <row r="261" spans="1:22" x14ac:dyDescent="0.2">
      <c r="A261" s="223"/>
      <c r="B261" s="223"/>
      <c r="C261" s="223"/>
      <c r="D261" s="223"/>
      <c r="E261" s="223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3"/>
      <c r="S261" s="223"/>
      <c r="T261" s="223"/>
      <c r="U261" s="223"/>
      <c r="V261" s="223"/>
    </row>
    <row r="262" spans="1:22" x14ac:dyDescent="0.2">
      <c r="A262" s="223"/>
      <c r="B262" s="223"/>
      <c r="C262" s="223"/>
      <c r="D262" s="223"/>
      <c r="E262" s="223"/>
      <c r="F262" s="223"/>
      <c r="G262" s="223"/>
      <c r="H262" s="223"/>
      <c r="I262" s="223"/>
      <c r="J262" s="223"/>
      <c r="K262" s="223"/>
      <c r="L262" s="223"/>
      <c r="M262" s="223"/>
      <c r="N262" s="223"/>
      <c r="O262" s="223"/>
      <c r="P262" s="223"/>
      <c r="Q262" s="223"/>
      <c r="R262" s="223"/>
      <c r="S262" s="223"/>
      <c r="T262" s="223"/>
      <c r="U262" s="223"/>
      <c r="V262" s="223"/>
    </row>
    <row r="263" spans="1:22" x14ac:dyDescent="0.2">
      <c r="A263" s="223"/>
      <c r="B263" s="223"/>
      <c r="C263" s="223"/>
      <c r="D263" s="223"/>
      <c r="E263" s="223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</row>
    <row r="264" spans="1:22" x14ac:dyDescent="0.2">
      <c r="A264" s="223"/>
      <c r="B264" s="223"/>
      <c r="C264" s="223"/>
      <c r="D264" s="223"/>
      <c r="E264" s="223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</row>
    <row r="265" spans="1:22" x14ac:dyDescent="0.2">
      <c r="A265" s="223"/>
      <c r="B265" s="223"/>
      <c r="C265" s="223"/>
      <c r="D265" s="223"/>
      <c r="E265" s="223"/>
      <c r="F265" s="223"/>
      <c r="G265" s="223"/>
      <c r="H265" s="223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</row>
    <row r="266" spans="1:22" x14ac:dyDescent="0.2">
      <c r="A266" s="223"/>
      <c r="B266" s="223"/>
      <c r="C266" s="223"/>
      <c r="D266" s="223"/>
      <c r="E266" s="223"/>
      <c r="F266" s="223"/>
      <c r="G266" s="223"/>
      <c r="H266" s="223"/>
      <c r="I266" s="223"/>
      <c r="J266" s="223"/>
      <c r="K266" s="223"/>
      <c r="L266" s="223"/>
      <c r="M266" s="223"/>
      <c r="N266" s="223"/>
      <c r="O266" s="223"/>
      <c r="P266" s="223"/>
      <c r="Q266" s="223"/>
      <c r="R266" s="223"/>
      <c r="S266" s="223"/>
      <c r="T266" s="223"/>
      <c r="U266" s="223"/>
      <c r="V266" s="223"/>
    </row>
    <row r="267" spans="1:22" x14ac:dyDescent="0.2">
      <c r="A267" s="223"/>
      <c r="B267" s="223"/>
      <c r="C267" s="223"/>
      <c r="D267" s="223"/>
      <c r="E267" s="223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3"/>
    </row>
    <row r="268" spans="1:22" x14ac:dyDescent="0.2">
      <c r="A268" s="223"/>
      <c r="B268" s="223"/>
      <c r="C268" s="223"/>
      <c r="D268" s="223"/>
      <c r="E268" s="223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</row>
    <row r="269" spans="1:22" x14ac:dyDescent="0.2">
      <c r="A269" s="223"/>
      <c r="B269" s="223"/>
      <c r="C269" s="223"/>
      <c r="D269" s="223"/>
      <c r="E269" s="223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</row>
    <row r="270" spans="1:22" x14ac:dyDescent="0.2">
      <c r="A270" s="223"/>
      <c r="B270" s="223"/>
      <c r="C270" s="223"/>
      <c r="D270" s="223"/>
      <c r="E270" s="223"/>
      <c r="F270" s="223"/>
      <c r="G270" s="223"/>
      <c r="H270" s="223"/>
      <c r="I270" s="223"/>
      <c r="J270" s="223"/>
      <c r="K270" s="223"/>
      <c r="L270" s="223"/>
      <c r="M270" s="223"/>
      <c r="N270" s="223"/>
      <c r="O270" s="223"/>
      <c r="P270" s="223"/>
      <c r="Q270" s="223"/>
      <c r="R270" s="223"/>
      <c r="S270" s="223"/>
      <c r="T270" s="223"/>
      <c r="U270" s="223"/>
      <c r="V270" s="223"/>
    </row>
    <row r="271" spans="1:22" x14ac:dyDescent="0.2">
      <c r="A271" s="223"/>
      <c r="B271" s="223"/>
      <c r="C271" s="223"/>
      <c r="D271" s="223"/>
      <c r="E271" s="223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3"/>
      <c r="S271" s="223"/>
      <c r="T271" s="223"/>
      <c r="U271" s="223"/>
      <c r="V271" s="223"/>
    </row>
    <row r="272" spans="1:22" x14ac:dyDescent="0.2">
      <c r="A272" s="223"/>
      <c r="B272" s="223"/>
      <c r="C272" s="223"/>
      <c r="D272" s="223"/>
      <c r="E272" s="223"/>
      <c r="F272" s="223"/>
      <c r="G272" s="223"/>
      <c r="H272" s="223"/>
      <c r="I272" s="223"/>
      <c r="J272" s="223"/>
      <c r="K272" s="223"/>
      <c r="L272" s="223"/>
      <c r="M272" s="223"/>
      <c r="N272" s="223"/>
      <c r="O272" s="223"/>
      <c r="P272" s="223"/>
      <c r="Q272" s="223"/>
      <c r="R272" s="223"/>
      <c r="S272" s="223"/>
      <c r="T272" s="223"/>
      <c r="U272" s="223"/>
      <c r="V272" s="223"/>
    </row>
    <row r="273" spans="1:22" x14ac:dyDescent="0.2">
      <c r="A273" s="223"/>
      <c r="B273" s="223"/>
      <c r="C273" s="223"/>
      <c r="D273" s="223"/>
      <c r="E273" s="223"/>
      <c r="F273" s="223"/>
      <c r="G273" s="223"/>
      <c r="H273" s="223"/>
      <c r="I273" s="223"/>
      <c r="J273" s="223"/>
      <c r="K273" s="223"/>
      <c r="L273" s="223"/>
      <c r="M273" s="223"/>
      <c r="N273" s="223"/>
      <c r="O273" s="223"/>
      <c r="P273" s="223"/>
      <c r="Q273" s="223"/>
      <c r="R273" s="223"/>
      <c r="S273" s="223"/>
      <c r="T273" s="223"/>
      <c r="U273" s="223"/>
      <c r="V273" s="223"/>
    </row>
    <row r="274" spans="1:22" x14ac:dyDescent="0.2">
      <c r="A274" s="223"/>
      <c r="B274" s="223"/>
      <c r="C274" s="223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</row>
    <row r="275" spans="1:22" x14ac:dyDescent="0.2">
      <c r="A275" s="223"/>
      <c r="B275" s="223"/>
      <c r="C275" s="223"/>
      <c r="D275" s="223"/>
      <c r="E275" s="223"/>
      <c r="F275" s="223"/>
      <c r="G275" s="223"/>
      <c r="H275" s="223"/>
      <c r="I275" s="223"/>
      <c r="J275" s="223"/>
      <c r="K275" s="223"/>
      <c r="L275" s="223"/>
      <c r="M275" s="223"/>
      <c r="N275" s="223"/>
      <c r="O275" s="223"/>
      <c r="P275" s="223"/>
      <c r="Q275" s="223"/>
      <c r="R275" s="223"/>
      <c r="S275" s="223"/>
      <c r="T275" s="223"/>
      <c r="U275" s="223"/>
      <c r="V275" s="223"/>
    </row>
    <row r="276" spans="1:22" x14ac:dyDescent="0.2">
      <c r="A276" s="223"/>
      <c r="B276" s="223"/>
      <c r="C276" s="223"/>
      <c r="D276" s="223"/>
      <c r="E276" s="223"/>
      <c r="F276" s="223"/>
      <c r="G276" s="223"/>
      <c r="H276" s="223"/>
      <c r="I276" s="223"/>
      <c r="J276" s="223"/>
      <c r="K276" s="223"/>
      <c r="L276" s="223"/>
      <c r="M276" s="223"/>
      <c r="N276" s="223"/>
      <c r="O276" s="223"/>
      <c r="P276" s="223"/>
      <c r="Q276" s="223"/>
      <c r="R276" s="223"/>
      <c r="S276" s="223"/>
      <c r="T276" s="223"/>
      <c r="U276" s="223"/>
      <c r="V276" s="223"/>
    </row>
    <row r="277" spans="1:22" x14ac:dyDescent="0.2">
      <c r="A277" s="223"/>
      <c r="B277" s="223"/>
      <c r="C277" s="223"/>
      <c r="D277" s="223"/>
      <c r="E277" s="223"/>
      <c r="F277" s="223"/>
      <c r="G277" s="223"/>
      <c r="H277" s="223"/>
      <c r="I277" s="223"/>
      <c r="J277" s="223"/>
      <c r="K277" s="223"/>
      <c r="L277" s="223"/>
      <c r="M277" s="223"/>
      <c r="N277" s="223"/>
      <c r="O277" s="223"/>
      <c r="P277" s="223"/>
      <c r="Q277" s="223"/>
      <c r="R277" s="223"/>
      <c r="S277" s="223"/>
      <c r="T277" s="223"/>
      <c r="U277" s="223"/>
      <c r="V277" s="223"/>
    </row>
    <row r="278" spans="1:22" x14ac:dyDescent="0.2">
      <c r="A278" s="223"/>
      <c r="B278" s="223"/>
      <c r="C278" s="223"/>
      <c r="D278" s="223"/>
      <c r="E278" s="223"/>
      <c r="F278" s="223"/>
      <c r="G278" s="223"/>
      <c r="H278" s="223"/>
      <c r="I278" s="223"/>
      <c r="J278" s="223"/>
      <c r="K278" s="223"/>
      <c r="L278" s="223"/>
      <c r="M278" s="223"/>
      <c r="N278" s="223"/>
      <c r="O278" s="223"/>
      <c r="P278" s="223"/>
      <c r="Q278" s="223"/>
      <c r="R278" s="223"/>
      <c r="S278" s="223"/>
      <c r="T278" s="223"/>
      <c r="U278" s="223"/>
      <c r="V278" s="223"/>
    </row>
    <row r="279" spans="1:22" x14ac:dyDescent="0.2">
      <c r="A279" s="223"/>
      <c r="B279" s="223"/>
      <c r="C279" s="223"/>
      <c r="D279" s="223"/>
      <c r="E279" s="223"/>
      <c r="F279" s="223"/>
      <c r="G279" s="223"/>
      <c r="H279" s="223"/>
      <c r="I279" s="223"/>
      <c r="J279" s="223"/>
      <c r="K279" s="223"/>
      <c r="L279" s="223"/>
      <c r="M279" s="223"/>
      <c r="N279" s="223"/>
      <c r="O279" s="223"/>
      <c r="P279" s="223"/>
      <c r="Q279" s="223"/>
      <c r="R279" s="223"/>
      <c r="S279" s="223"/>
      <c r="T279" s="223"/>
      <c r="U279" s="223"/>
      <c r="V279" s="223"/>
    </row>
    <row r="280" spans="1:22" x14ac:dyDescent="0.2">
      <c r="A280" s="223"/>
      <c r="B280" s="223"/>
      <c r="C280" s="223"/>
      <c r="D280" s="223"/>
      <c r="E280" s="223"/>
      <c r="F280" s="223"/>
      <c r="G280" s="223"/>
      <c r="H280" s="223"/>
      <c r="I280" s="223"/>
      <c r="J280" s="223"/>
      <c r="K280" s="223"/>
      <c r="L280" s="223"/>
      <c r="M280" s="223"/>
      <c r="N280" s="223"/>
      <c r="O280" s="223"/>
      <c r="P280" s="223"/>
      <c r="Q280" s="223"/>
      <c r="R280" s="223"/>
      <c r="S280" s="223"/>
      <c r="T280" s="223"/>
      <c r="U280" s="223"/>
      <c r="V280" s="223"/>
    </row>
    <row r="281" spans="1:22" x14ac:dyDescent="0.2">
      <c r="A281" s="223"/>
      <c r="B281" s="223"/>
      <c r="C281" s="223"/>
      <c r="D281" s="223"/>
      <c r="E281" s="223"/>
      <c r="F281" s="223"/>
      <c r="G281" s="223"/>
      <c r="H281" s="223"/>
      <c r="I281" s="223"/>
      <c r="J281" s="223"/>
      <c r="K281" s="223"/>
      <c r="L281" s="223"/>
      <c r="M281" s="223"/>
      <c r="N281" s="223"/>
      <c r="O281" s="223"/>
      <c r="P281" s="223"/>
      <c r="Q281" s="223"/>
      <c r="R281" s="223"/>
      <c r="S281" s="223"/>
      <c r="T281" s="223"/>
      <c r="U281" s="223"/>
      <c r="V281" s="223"/>
    </row>
    <row r="282" spans="1:22" x14ac:dyDescent="0.2">
      <c r="A282" s="223"/>
      <c r="B282" s="223"/>
      <c r="C282" s="223"/>
      <c r="D282" s="223"/>
      <c r="E282" s="223"/>
      <c r="F282" s="223"/>
      <c r="G282" s="223"/>
      <c r="H282" s="223"/>
      <c r="I282" s="223"/>
      <c r="J282" s="223"/>
      <c r="K282" s="223"/>
      <c r="L282" s="223"/>
      <c r="M282" s="223"/>
      <c r="N282" s="223"/>
      <c r="O282" s="223"/>
      <c r="P282" s="223"/>
      <c r="Q282" s="223"/>
      <c r="R282" s="223"/>
      <c r="S282" s="223"/>
      <c r="T282" s="223"/>
      <c r="U282" s="223"/>
      <c r="V282" s="223"/>
    </row>
    <row r="283" spans="1:22" x14ac:dyDescent="0.2">
      <c r="A283" s="223"/>
      <c r="B283" s="223"/>
      <c r="C283" s="223"/>
      <c r="D283" s="223"/>
      <c r="E283" s="223"/>
      <c r="F283" s="223"/>
      <c r="G283" s="223"/>
      <c r="H283" s="223"/>
      <c r="I283" s="223"/>
      <c r="J283" s="223"/>
      <c r="K283" s="223"/>
      <c r="L283" s="223"/>
      <c r="M283" s="223"/>
      <c r="N283" s="223"/>
      <c r="O283" s="223"/>
      <c r="P283" s="223"/>
      <c r="Q283" s="223"/>
      <c r="R283" s="223"/>
      <c r="S283" s="223"/>
      <c r="T283" s="223"/>
      <c r="U283" s="223"/>
      <c r="V283" s="223"/>
    </row>
    <row r="284" spans="1:22" x14ac:dyDescent="0.2">
      <c r="A284" s="223"/>
      <c r="B284" s="223"/>
      <c r="C284" s="223"/>
      <c r="D284" s="223"/>
      <c r="E284" s="223"/>
      <c r="F284" s="223"/>
      <c r="G284" s="223"/>
      <c r="H284" s="223"/>
      <c r="I284" s="223"/>
      <c r="J284" s="223"/>
      <c r="K284" s="223"/>
      <c r="L284" s="223"/>
      <c r="M284" s="223"/>
      <c r="N284" s="223"/>
      <c r="O284" s="223"/>
      <c r="P284" s="223"/>
      <c r="Q284" s="223"/>
      <c r="R284" s="223"/>
      <c r="S284" s="223"/>
      <c r="T284" s="223"/>
      <c r="U284" s="223"/>
      <c r="V284" s="223"/>
    </row>
    <row r="285" spans="1:22" x14ac:dyDescent="0.2">
      <c r="A285" s="223"/>
      <c r="B285" s="223"/>
      <c r="C285" s="223"/>
      <c r="D285" s="223"/>
      <c r="E285" s="223"/>
      <c r="F285" s="223"/>
      <c r="G285" s="223"/>
      <c r="H285" s="223"/>
      <c r="I285" s="223"/>
      <c r="J285" s="223"/>
      <c r="K285" s="223"/>
      <c r="L285" s="223"/>
      <c r="M285" s="223"/>
      <c r="N285" s="223"/>
      <c r="O285" s="223"/>
      <c r="P285" s="223"/>
      <c r="Q285" s="223"/>
      <c r="R285" s="223"/>
      <c r="S285" s="223"/>
      <c r="T285" s="223"/>
      <c r="U285" s="223"/>
      <c r="V285" s="223"/>
    </row>
    <row r="286" spans="1:22" x14ac:dyDescent="0.2">
      <c r="A286" s="223"/>
      <c r="B286" s="223"/>
      <c r="C286" s="223"/>
      <c r="D286" s="223"/>
      <c r="E286" s="223"/>
      <c r="F286" s="223"/>
      <c r="G286" s="223"/>
      <c r="H286" s="223"/>
      <c r="I286" s="223"/>
      <c r="J286" s="223"/>
      <c r="K286" s="223"/>
      <c r="L286" s="223"/>
      <c r="M286" s="223"/>
      <c r="N286" s="223"/>
      <c r="O286" s="223"/>
      <c r="P286" s="223"/>
      <c r="Q286" s="223"/>
      <c r="R286" s="223"/>
      <c r="S286" s="223"/>
      <c r="T286" s="223"/>
      <c r="U286" s="223"/>
      <c r="V286" s="223"/>
    </row>
    <row r="287" spans="1:22" x14ac:dyDescent="0.2">
      <c r="A287" s="223"/>
      <c r="B287" s="223"/>
      <c r="C287" s="223"/>
      <c r="D287" s="223"/>
      <c r="E287" s="223"/>
      <c r="F287" s="223"/>
      <c r="G287" s="223"/>
      <c r="H287" s="223"/>
      <c r="I287" s="223"/>
      <c r="J287" s="223"/>
      <c r="K287" s="223"/>
      <c r="L287" s="223"/>
      <c r="M287" s="223"/>
      <c r="N287" s="223"/>
      <c r="O287" s="223"/>
      <c r="P287" s="223"/>
      <c r="Q287" s="223"/>
      <c r="R287" s="223"/>
      <c r="S287" s="223"/>
      <c r="T287" s="223"/>
      <c r="U287" s="223"/>
      <c r="V287" s="223"/>
    </row>
    <row r="288" spans="1:22" x14ac:dyDescent="0.2">
      <c r="A288" s="223"/>
      <c r="B288" s="223"/>
      <c r="C288" s="223"/>
      <c r="D288" s="223"/>
      <c r="E288" s="223"/>
      <c r="F288" s="223"/>
      <c r="G288" s="223"/>
      <c r="H288" s="223"/>
      <c r="I288" s="223"/>
      <c r="J288" s="223"/>
      <c r="K288" s="223"/>
      <c r="L288" s="223"/>
      <c r="M288" s="223"/>
      <c r="N288" s="223"/>
      <c r="O288" s="223"/>
      <c r="P288" s="223"/>
      <c r="Q288" s="223"/>
      <c r="R288" s="223"/>
      <c r="S288" s="223"/>
      <c r="T288" s="223"/>
      <c r="U288" s="223"/>
      <c r="V288" s="223"/>
    </row>
    <row r="289" spans="1:22" x14ac:dyDescent="0.2">
      <c r="A289" s="223"/>
      <c r="B289" s="223"/>
      <c r="C289" s="223"/>
      <c r="D289" s="223"/>
      <c r="E289" s="223"/>
      <c r="F289" s="223"/>
      <c r="G289" s="223"/>
      <c r="H289" s="223"/>
      <c r="I289" s="223"/>
      <c r="J289" s="223"/>
      <c r="K289" s="223"/>
      <c r="L289" s="223"/>
      <c r="M289" s="223"/>
      <c r="N289" s="223"/>
      <c r="O289" s="223"/>
      <c r="P289" s="223"/>
      <c r="Q289" s="223"/>
      <c r="R289" s="223"/>
      <c r="S289" s="223"/>
      <c r="T289" s="223"/>
      <c r="U289" s="223"/>
      <c r="V289" s="223"/>
    </row>
    <row r="290" spans="1:22" x14ac:dyDescent="0.2">
      <c r="A290" s="223"/>
      <c r="B290" s="223"/>
      <c r="C290" s="223"/>
      <c r="D290" s="223"/>
      <c r="E290" s="223"/>
      <c r="F290" s="223"/>
      <c r="G290" s="223"/>
      <c r="H290" s="223"/>
      <c r="I290" s="223"/>
      <c r="J290" s="223"/>
      <c r="K290" s="223"/>
      <c r="L290" s="223"/>
      <c r="M290" s="223"/>
      <c r="N290" s="223"/>
      <c r="O290" s="223"/>
      <c r="P290" s="223"/>
      <c r="Q290" s="223"/>
      <c r="R290" s="223"/>
      <c r="S290" s="223"/>
      <c r="T290" s="223"/>
      <c r="U290" s="223"/>
      <c r="V290" s="223"/>
    </row>
    <row r="291" spans="1:22" x14ac:dyDescent="0.2">
      <c r="A291" s="223"/>
      <c r="B291" s="223"/>
      <c r="C291" s="223"/>
      <c r="D291" s="223"/>
      <c r="E291" s="223"/>
      <c r="F291" s="223"/>
      <c r="G291" s="223"/>
      <c r="H291" s="223"/>
      <c r="I291" s="223"/>
      <c r="J291" s="223"/>
      <c r="K291" s="223"/>
      <c r="L291" s="223"/>
      <c r="M291" s="223"/>
      <c r="N291" s="223"/>
      <c r="O291" s="223"/>
      <c r="P291" s="223"/>
      <c r="Q291" s="223"/>
      <c r="R291" s="223"/>
      <c r="S291" s="223"/>
      <c r="T291" s="223"/>
      <c r="U291" s="223"/>
      <c r="V291" s="223"/>
    </row>
    <row r="292" spans="1:22" x14ac:dyDescent="0.2">
      <c r="A292" s="223"/>
      <c r="B292" s="223"/>
      <c r="C292" s="223"/>
      <c r="D292" s="223"/>
      <c r="E292" s="223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3"/>
      <c r="R292" s="223"/>
      <c r="S292" s="223"/>
      <c r="T292" s="223"/>
      <c r="U292" s="223"/>
      <c r="V292" s="223"/>
    </row>
    <row r="293" spans="1:22" x14ac:dyDescent="0.2">
      <c r="A293" s="223"/>
      <c r="B293" s="223"/>
      <c r="C293" s="223"/>
      <c r="D293" s="223"/>
      <c r="E293" s="223"/>
      <c r="F293" s="223"/>
      <c r="G293" s="223"/>
      <c r="H293" s="223"/>
      <c r="I293" s="223"/>
      <c r="J293" s="223"/>
      <c r="K293" s="223"/>
      <c r="L293" s="223"/>
      <c r="M293" s="223"/>
      <c r="N293" s="223"/>
      <c r="O293" s="223"/>
      <c r="P293" s="223"/>
      <c r="Q293" s="223"/>
      <c r="R293" s="223"/>
      <c r="S293" s="223"/>
      <c r="T293" s="223"/>
      <c r="U293" s="223"/>
      <c r="V293" s="223"/>
    </row>
    <row r="294" spans="1:22" x14ac:dyDescent="0.2">
      <c r="A294" s="223"/>
      <c r="B294" s="223"/>
      <c r="C294" s="223"/>
      <c r="D294" s="223"/>
      <c r="E294" s="223"/>
      <c r="F294" s="223"/>
      <c r="G294" s="223"/>
      <c r="H294" s="223"/>
      <c r="I294" s="223"/>
      <c r="J294" s="223"/>
      <c r="K294" s="223"/>
      <c r="L294" s="223"/>
      <c r="M294" s="223"/>
      <c r="N294" s="223"/>
      <c r="O294" s="223"/>
      <c r="P294" s="223"/>
      <c r="Q294" s="223"/>
      <c r="R294" s="223"/>
      <c r="S294" s="223"/>
      <c r="T294" s="223"/>
      <c r="U294" s="223"/>
      <c r="V294" s="223"/>
    </row>
    <row r="295" spans="1:22" x14ac:dyDescent="0.2">
      <c r="A295" s="223"/>
      <c r="B295" s="223"/>
      <c r="C295" s="223"/>
      <c r="D295" s="223"/>
      <c r="E295" s="223"/>
      <c r="F295" s="223"/>
      <c r="G295" s="223"/>
      <c r="H295" s="223"/>
      <c r="I295" s="223"/>
      <c r="J295" s="223"/>
      <c r="K295" s="223"/>
      <c r="L295" s="223"/>
      <c r="M295" s="223"/>
      <c r="N295" s="223"/>
      <c r="O295" s="223"/>
      <c r="P295" s="223"/>
      <c r="Q295" s="223"/>
      <c r="R295" s="223"/>
      <c r="S295" s="223"/>
      <c r="T295" s="223"/>
      <c r="U295" s="223"/>
      <c r="V295" s="223"/>
    </row>
    <row r="296" spans="1:22" x14ac:dyDescent="0.2">
      <c r="A296" s="223"/>
      <c r="B296" s="223"/>
      <c r="C296" s="223"/>
      <c r="D296" s="223"/>
      <c r="E296" s="223"/>
      <c r="F296" s="223"/>
      <c r="G296" s="223"/>
      <c r="H296" s="223"/>
      <c r="I296" s="223"/>
      <c r="J296" s="223"/>
      <c r="K296" s="223"/>
      <c r="L296" s="223"/>
      <c r="M296" s="223"/>
      <c r="N296" s="223"/>
      <c r="O296" s="223"/>
      <c r="P296" s="223"/>
      <c r="Q296" s="223"/>
      <c r="R296" s="223"/>
      <c r="S296" s="223"/>
      <c r="T296" s="223"/>
      <c r="U296" s="223"/>
      <c r="V296" s="223"/>
    </row>
    <row r="297" spans="1:22" x14ac:dyDescent="0.2">
      <c r="A297" s="223"/>
      <c r="B297" s="223"/>
      <c r="C297" s="223"/>
      <c r="D297" s="223"/>
      <c r="E297" s="223"/>
      <c r="F297" s="223"/>
      <c r="G297" s="223"/>
      <c r="H297" s="223"/>
      <c r="I297" s="223"/>
      <c r="J297" s="223"/>
      <c r="K297" s="223"/>
      <c r="L297" s="223"/>
      <c r="M297" s="223"/>
      <c r="N297" s="223"/>
      <c r="O297" s="223"/>
      <c r="P297" s="223"/>
      <c r="Q297" s="223"/>
      <c r="R297" s="223"/>
      <c r="S297" s="223"/>
      <c r="T297" s="223"/>
      <c r="U297" s="223"/>
      <c r="V297" s="223"/>
    </row>
    <row r="298" spans="1:22" x14ac:dyDescent="0.2">
      <c r="A298" s="223"/>
      <c r="B298" s="223"/>
      <c r="C298" s="223"/>
      <c r="D298" s="223"/>
      <c r="E298" s="223"/>
      <c r="F298" s="223"/>
      <c r="G298" s="223"/>
      <c r="H298" s="223"/>
      <c r="I298" s="223"/>
      <c r="J298" s="223"/>
      <c r="K298" s="223"/>
      <c r="L298" s="223"/>
      <c r="M298" s="223"/>
      <c r="N298" s="223"/>
      <c r="O298" s="223"/>
      <c r="P298" s="223"/>
      <c r="Q298" s="223"/>
      <c r="R298" s="223"/>
      <c r="S298" s="223"/>
      <c r="T298" s="223"/>
      <c r="U298" s="223"/>
      <c r="V298" s="223"/>
    </row>
  </sheetData>
  <sheetProtection algorithmName="SHA-512" hashValue="dhEpkEfN7EdUvLJ9zEshWgREjHfoqvt6wVIjBs0wfmygKtj/B2L6I+XlJ4uLtvGBOlg5F+gkBNxgxtqbmaH+Qw==" saltValue="bgEZdgm2jN9H0cUddv0uVQ==" spinCount="100000" sheet="1" objects="1" scenarios="1"/>
  <mergeCells count="10">
    <mergeCell ref="AA66:AJ74"/>
    <mergeCell ref="AU14:AV14"/>
    <mergeCell ref="B3:K5"/>
    <mergeCell ref="W2:AL3"/>
    <mergeCell ref="O44:T49"/>
    <mergeCell ref="O51:T54"/>
    <mergeCell ref="O37:R43"/>
    <mergeCell ref="AO14:AP14"/>
    <mergeCell ref="AQ14:AR14"/>
    <mergeCell ref="AS14:AT14"/>
  </mergeCells>
  <phoneticPr fontId="29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54F25F8A-81A8-4EF1-BC2F-68C76B7CBC5E}">
          <x14:formula1>
            <xm:f>'Data List'!$B$3:$B$4</xm:f>
          </x14:formula1>
          <xm:sqref>C10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11B4D-BB65-49E1-8B5E-008D9BB50C48}">
  <sheetPr codeName="Sheet15"/>
  <dimension ref="A1:AV297"/>
  <sheetViews>
    <sheetView zoomScale="50" zoomScaleNormal="50" workbookViewId="0">
      <selection activeCell="D60" sqref="D60"/>
    </sheetView>
  </sheetViews>
  <sheetFormatPr baseColWidth="10" defaultColWidth="8.6640625" defaultRowHeight="15" x14ac:dyDescent="0.2"/>
  <cols>
    <col min="1" max="1" width="8.6640625" style="209"/>
    <col min="2" max="2" width="37.6640625" style="209" bestFit="1" customWidth="1"/>
    <col min="3" max="3" width="20.6640625" style="209" customWidth="1"/>
    <col min="4" max="4" width="18.1640625" style="209" bestFit="1" customWidth="1"/>
    <col min="5" max="5" width="20.5" style="209" bestFit="1" customWidth="1"/>
    <col min="6" max="6" width="18.1640625" style="209" bestFit="1" customWidth="1"/>
    <col min="7" max="7" width="8.83203125" style="209" bestFit="1" customWidth="1"/>
    <col min="8" max="9" width="8.6640625" style="209"/>
    <col min="10" max="10" width="8.83203125" style="209" bestFit="1" customWidth="1"/>
    <col min="11" max="11" width="15.5" style="209" bestFit="1" customWidth="1"/>
    <col min="12" max="12" width="16.5" style="209" bestFit="1" customWidth="1"/>
    <col min="13" max="13" width="16.83203125" style="209" bestFit="1" customWidth="1"/>
    <col min="14" max="14" width="7.5" style="209" customWidth="1"/>
    <col min="15" max="15" width="9.5" style="209" bestFit="1" customWidth="1"/>
    <col min="16" max="16" width="8.83203125" style="209" bestFit="1" customWidth="1"/>
    <col min="17" max="17" width="11.5" style="209" bestFit="1" customWidth="1"/>
    <col min="18" max="18" width="17" style="209" customWidth="1"/>
    <col min="19" max="19" width="10.33203125" style="209" bestFit="1" customWidth="1"/>
    <col min="20" max="20" width="13.33203125" style="209" bestFit="1" customWidth="1"/>
    <col min="21" max="21" width="14.5" style="209" bestFit="1" customWidth="1"/>
    <col min="22" max="22" width="12.83203125" style="209" bestFit="1" customWidth="1"/>
    <col min="23" max="25" width="8.6640625" style="209"/>
    <col min="26" max="27" width="8.83203125" style="209" bestFit="1" customWidth="1"/>
    <col min="28" max="28" width="15.5" style="209" bestFit="1" customWidth="1"/>
    <col min="29" max="29" width="9.5" style="209" bestFit="1" customWidth="1"/>
    <col min="30" max="30" width="9.5" style="209" customWidth="1"/>
    <col min="31" max="31" width="8.83203125" style="209" bestFit="1" customWidth="1"/>
    <col min="32" max="39" width="8.6640625" style="209"/>
    <col min="40" max="40" width="13.5" style="209" customWidth="1"/>
    <col min="41" max="41" width="10.1640625" style="209" customWidth="1"/>
    <col min="42" max="42" width="12.5" style="209" bestFit="1" customWidth="1"/>
    <col min="43" max="43" width="11.1640625" style="209" bestFit="1" customWidth="1"/>
    <col min="44" max="44" width="13.5" style="209" bestFit="1" customWidth="1"/>
    <col min="45" max="45" width="11.1640625" style="209" bestFit="1" customWidth="1"/>
    <col min="46" max="46" width="13.5" style="209" bestFit="1" customWidth="1"/>
    <col min="47" max="47" width="11.1640625" style="209" bestFit="1" customWidth="1"/>
    <col min="48" max="48" width="13.5" style="209" bestFit="1" customWidth="1"/>
    <col min="49" max="16384" width="8.6640625" style="209"/>
  </cols>
  <sheetData>
    <row r="1" spans="1:48" ht="20" customHeight="1" x14ac:dyDescent="0.2">
      <c r="W1" s="285" t="s">
        <v>144</v>
      </c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</row>
    <row r="2" spans="1:48" ht="20" customHeight="1" x14ac:dyDescent="0.2">
      <c r="B2" s="289" t="s">
        <v>156</v>
      </c>
      <c r="C2" s="289"/>
      <c r="D2" s="289"/>
      <c r="E2" s="289"/>
      <c r="F2" s="289"/>
      <c r="G2" s="289"/>
      <c r="H2" s="289"/>
      <c r="I2" s="289"/>
      <c r="J2" s="289"/>
      <c r="K2" s="289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5"/>
      <c r="AH2" s="285"/>
      <c r="AI2" s="285"/>
      <c r="AJ2" s="285"/>
      <c r="AK2" s="285"/>
      <c r="AL2" s="285"/>
    </row>
    <row r="3" spans="1:48" ht="9.75" customHeight="1" x14ac:dyDescent="0.55000000000000004">
      <c r="B3" s="290"/>
      <c r="C3" s="290"/>
      <c r="D3" s="290"/>
      <c r="E3" s="290"/>
      <c r="F3" s="290"/>
      <c r="G3" s="290"/>
      <c r="H3" s="290"/>
      <c r="I3" s="290"/>
      <c r="J3" s="290"/>
      <c r="K3" s="290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</row>
    <row r="4" spans="1:48" ht="21" x14ac:dyDescent="0.25">
      <c r="A4" s="210"/>
      <c r="B4" s="290"/>
      <c r="C4" s="290"/>
      <c r="D4" s="290"/>
      <c r="E4" s="290"/>
      <c r="F4" s="290"/>
      <c r="G4" s="290"/>
      <c r="H4" s="290"/>
      <c r="I4" s="290"/>
      <c r="J4" s="290"/>
      <c r="K4" s="290"/>
    </row>
    <row r="5" spans="1:48" ht="21" x14ac:dyDescent="0.25">
      <c r="A5" s="210"/>
      <c r="G5" s="211"/>
      <c r="H5" s="212"/>
      <c r="I5" s="213"/>
    </row>
    <row r="6" spans="1:48" ht="31" x14ac:dyDescent="0.35">
      <c r="A6" s="210"/>
      <c r="B6" s="214" t="s">
        <v>120</v>
      </c>
      <c r="G6" s="210"/>
    </row>
    <row r="7" spans="1:48" ht="54" x14ac:dyDescent="0.25">
      <c r="A7" s="210"/>
      <c r="B7" s="170" t="s">
        <v>146</v>
      </c>
      <c r="C7" s="171"/>
      <c r="D7" s="171"/>
      <c r="E7" s="171"/>
      <c r="F7" s="172" t="s">
        <v>147</v>
      </c>
      <c r="G7" s="210"/>
    </row>
    <row r="8" spans="1:48" ht="26" x14ac:dyDescent="0.3">
      <c r="A8" s="210"/>
      <c r="B8" s="173" t="s">
        <v>114</v>
      </c>
      <c r="C8" s="174"/>
      <c r="D8" s="174"/>
      <c r="E8" s="174"/>
      <c r="F8" s="175">
        <f>SUBTOTAL(9,F9:F10)</f>
        <v>46200</v>
      </c>
      <c r="G8" s="210"/>
    </row>
    <row r="9" spans="1:48" ht="26" x14ac:dyDescent="0.3">
      <c r="A9" s="210"/>
      <c r="B9" s="176" t="s">
        <v>148</v>
      </c>
      <c r="C9" s="233" t="s">
        <v>149</v>
      </c>
      <c r="D9" s="234">
        <v>15.4</v>
      </c>
      <c r="E9" s="235">
        <v>3000</v>
      </c>
      <c r="F9" s="177">
        <f>D9*E9</f>
        <v>46200</v>
      </c>
      <c r="G9" s="210"/>
    </row>
    <row r="10" spans="1:48" ht="26" x14ac:dyDescent="0.3">
      <c r="A10" s="210"/>
      <c r="B10" s="178"/>
      <c r="C10" s="179"/>
      <c r="D10" s="179"/>
      <c r="E10" s="179"/>
      <c r="F10" s="180"/>
      <c r="G10" s="210"/>
    </row>
    <row r="11" spans="1:48" s="216" customFormat="1" ht="26" x14ac:dyDescent="0.3">
      <c r="A11" s="215"/>
      <c r="B11" s="203"/>
      <c r="C11" s="204"/>
      <c r="D11" s="204"/>
      <c r="E11" s="204"/>
      <c r="F11" s="205"/>
      <c r="G11" s="215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</row>
    <row r="12" spans="1:48" ht="26" x14ac:dyDescent="0.3">
      <c r="A12" s="210"/>
      <c r="B12" s="181"/>
      <c r="C12" s="230"/>
      <c r="D12" s="208"/>
      <c r="E12" s="208"/>
      <c r="F12" s="182"/>
      <c r="G12" s="210"/>
      <c r="AB12" s="216"/>
      <c r="AC12" s="216"/>
      <c r="AD12" s="216"/>
      <c r="AE12" s="216"/>
      <c r="AF12" s="216"/>
      <c r="AG12" s="216"/>
      <c r="AH12" s="216"/>
      <c r="AI12" s="216"/>
      <c r="AJ12" s="216"/>
      <c r="AK12" s="216"/>
      <c r="AL12" s="216"/>
      <c r="AM12" s="216"/>
      <c r="AN12" s="216"/>
    </row>
    <row r="13" spans="1:48" ht="27" x14ac:dyDescent="0.3">
      <c r="A13" s="210"/>
      <c r="B13" s="206" t="s">
        <v>1</v>
      </c>
      <c r="C13" s="183" t="s">
        <v>109</v>
      </c>
      <c r="D13" s="183"/>
      <c r="E13" s="183"/>
      <c r="F13" s="207">
        <f>'Almonds Margin - Alternative'!BO7+F17</f>
        <v>14060.132</v>
      </c>
      <c r="G13" s="210"/>
      <c r="AO13" s="282"/>
      <c r="AP13" s="282"/>
      <c r="AQ13" s="282"/>
      <c r="AR13" s="282"/>
      <c r="AS13" s="282"/>
      <c r="AT13" s="282"/>
      <c r="AU13" s="282"/>
      <c r="AV13" s="282"/>
    </row>
    <row r="14" spans="1:48" ht="26" x14ac:dyDescent="0.3">
      <c r="A14" s="210"/>
      <c r="B14" s="174" t="s">
        <v>10</v>
      </c>
      <c r="C14" s="184" t="s">
        <v>150</v>
      </c>
      <c r="D14" s="236">
        <v>176</v>
      </c>
      <c r="E14" s="237">
        <v>2.48</v>
      </c>
      <c r="F14" s="185">
        <f>D14*E14</f>
        <v>436.48</v>
      </c>
      <c r="G14" s="210"/>
      <c r="AN14" s="218"/>
      <c r="AO14" s="218"/>
      <c r="AP14" s="218"/>
      <c r="AQ14" s="218"/>
      <c r="AR14" s="218"/>
      <c r="AS14" s="218"/>
      <c r="AT14" s="218"/>
      <c r="AU14" s="218"/>
      <c r="AV14" s="218"/>
    </row>
    <row r="15" spans="1:48" ht="26" x14ac:dyDescent="0.3">
      <c r="A15" s="210"/>
      <c r="B15" s="174" t="s">
        <v>17</v>
      </c>
      <c r="C15" s="184" t="s">
        <v>151</v>
      </c>
      <c r="D15" s="238">
        <v>0.5</v>
      </c>
      <c r="E15" s="237">
        <v>99</v>
      </c>
      <c r="F15" s="185">
        <f>D15*E15</f>
        <v>49.5</v>
      </c>
      <c r="G15" s="210"/>
    </row>
    <row r="16" spans="1:48" ht="26" x14ac:dyDescent="0.3">
      <c r="A16" s="210"/>
      <c r="B16" s="174" t="s">
        <v>152</v>
      </c>
      <c r="C16" s="184"/>
      <c r="D16" s="174"/>
      <c r="E16" s="186"/>
      <c r="F16" s="185">
        <f>F13-F14-F15</f>
        <v>13574.152</v>
      </c>
      <c r="G16" s="210"/>
    </row>
    <row r="17" spans="2:48" ht="26" x14ac:dyDescent="0.3">
      <c r="B17" s="174" t="s">
        <v>153</v>
      </c>
      <c r="C17" s="184" t="s">
        <v>154</v>
      </c>
      <c r="D17" s="239">
        <v>0</v>
      </c>
      <c r="E17" s="186"/>
      <c r="F17" s="185"/>
    </row>
    <row r="18" spans="2:48" x14ac:dyDescent="0.2">
      <c r="B18" s="219"/>
      <c r="C18" s="217"/>
      <c r="D18" s="202"/>
      <c r="E18" s="220"/>
    </row>
    <row r="19" spans="2:48" x14ac:dyDescent="0.2">
      <c r="B19" s="219"/>
      <c r="C19" s="217"/>
      <c r="E19" s="220"/>
      <c r="AO19" s="216"/>
      <c r="AP19" s="216"/>
      <c r="AQ19" s="216"/>
      <c r="AR19" s="216"/>
      <c r="AS19" s="216"/>
      <c r="AT19" s="216"/>
      <c r="AU19" s="216"/>
      <c r="AV19" s="216"/>
    </row>
    <row r="20" spans="2:48" x14ac:dyDescent="0.2">
      <c r="B20" s="219"/>
    </row>
    <row r="21" spans="2:48" x14ac:dyDescent="0.2">
      <c r="B21" s="219"/>
      <c r="C21" s="217"/>
      <c r="E21" s="220"/>
    </row>
    <row r="22" spans="2:48" x14ac:dyDescent="0.2">
      <c r="B22" s="219"/>
      <c r="C22" s="217"/>
      <c r="E22" s="220"/>
    </row>
    <row r="23" spans="2:48" x14ac:dyDescent="0.2">
      <c r="B23" s="219"/>
      <c r="C23" s="217"/>
      <c r="E23" s="220"/>
    </row>
    <row r="24" spans="2:48" x14ac:dyDescent="0.2">
      <c r="B24" s="219"/>
      <c r="C24" s="217"/>
      <c r="D24" s="221"/>
      <c r="E24" s="220"/>
    </row>
    <row r="25" spans="2:48" x14ac:dyDescent="0.2">
      <c r="B25" s="219"/>
      <c r="C25" s="217"/>
      <c r="E25" s="220"/>
    </row>
    <row r="26" spans="2:48" x14ac:dyDescent="0.2">
      <c r="B26" s="219"/>
      <c r="C26" s="217"/>
      <c r="E26" s="220"/>
    </row>
    <row r="27" spans="2:48" x14ac:dyDescent="0.2">
      <c r="B27" s="219"/>
      <c r="C27" s="217"/>
      <c r="E27" s="220"/>
    </row>
    <row r="28" spans="2:48" x14ac:dyDescent="0.2">
      <c r="B28" s="219"/>
      <c r="C28" s="217"/>
      <c r="E28" s="220"/>
    </row>
    <row r="29" spans="2:48" x14ac:dyDescent="0.2">
      <c r="C29" s="217"/>
      <c r="E29" s="220"/>
    </row>
    <row r="30" spans="2:48" x14ac:dyDescent="0.2">
      <c r="C30" s="217"/>
      <c r="E30" s="220"/>
    </row>
    <row r="31" spans="2:48" ht="14.5" customHeight="1" x14ac:dyDescent="0.2">
      <c r="C31" s="217"/>
      <c r="E31" s="220"/>
      <c r="M31" s="222"/>
      <c r="N31" s="222"/>
      <c r="O31" s="222"/>
      <c r="P31" s="222"/>
      <c r="Q31" s="222"/>
      <c r="R31" s="222"/>
      <c r="S31" s="222"/>
      <c r="T31" s="222"/>
    </row>
    <row r="32" spans="2:48" ht="14.5" customHeight="1" x14ac:dyDescent="0.2">
      <c r="C32" s="217"/>
      <c r="E32" s="220"/>
      <c r="M32" s="222"/>
      <c r="N32" s="222"/>
      <c r="O32" s="222"/>
      <c r="P32" s="222"/>
      <c r="Q32" s="222"/>
      <c r="R32" s="222"/>
      <c r="S32" s="222"/>
      <c r="T32" s="222"/>
    </row>
    <row r="33" spans="1:25" ht="14.5" customHeight="1" x14ac:dyDescent="0.2">
      <c r="C33" s="217"/>
      <c r="E33" s="220"/>
      <c r="M33" s="222"/>
      <c r="N33" s="222"/>
      <c r="O33" s="222"/>
      <c r="P33" s="222"/>
      <c r="Q33" s="222"/>
      <c r="R33" s="222"/>
      <c r="S33" s="222"/>
      <c r="T33" s="222"/>
    </row>
    <row r="34" spans="1:25" ht="14.5" customHeight="1" x14ac:dyDescent="0.2">
      <c r="E34" s="220"/>
      <c r="M34" s="222"/>
      <c r="N34" s="222"/>
      <c r="O34" s="222"/>
      <c r="P34" s="222"/>
      <c r="Q34" s="222"/>
      <c r="R34" s="222"/>
      <c r="S34" s="222"/>
      <c r="T34" s="222"/>
    </row>
    <row r="35" spans="1:25" ht="14.5" customHeight="1" x14ac:dyDescent="0.2">
      <c r="E35" s="220"/>
      <c r="M35" s="222"/>
      <c r="N35" s="222"/>
      <c r="O35" s="222"/>
      <c r="P35" s="222"/>
      <c r="Q35" s="222"/>
      <c r="R35" s="222"/>
      <c r="S35" s="222"/>
      <c r="T35" s="222"/>
    </row>
    <row r="36" spans="1:25" ht="14.5" customHeight="1" x14ac:dyDescent="0.2">
      <c r="M36" s="222"/>
      <c r="N36" s="222"/>
      <c r="O36" s="288"/>
      <c r="P36" s="288"/>
      <c r="Q36" s="288"/>
      <c r="R36" s="288"/>
      <c r="S36" s="222"/>
      <c r="T36" s="222"/>
    </row>
    <row r="37" spans="1:25" ht="14.5" customHeight="1" x14ac:dyDescent="0.2">
      <c r="M37" s="222"/>
      <c r="N37" s="222"/>
      <c r="O37" s="288"/>
      <c r="P37" s="288"/>
      <c r="Q37" s="288"/>
      <c r="R37" s="288"/>
      <c r="S37" s="222"/>
      <c r="T37" s="222"/>
    </row>
    <row r="38" spans="1:25" ht="14.5" customHeight="1" x14ac:dyDescent="0.2">
      <c r="M38" s="222"/>
      <c r="N38" s="222"/>
      <c r="O38" s="288"/>
      <c r="P38" s="288"/>
      <c r="Q38" s="288"/>
      <c r="R38" s="288"/>
      <c r="S38" s="222"/>
      <c r="T38" s="222"/>
    </row>
    <row r="39" spans="1:25" ht="14.5" customHeight="1" x14ac:dyDescent="0.2">
      <c r="M39" s="222"/>
      <c r="N39" s="222"/>
      <c r="O39" s="288"/>
      <c r="P39" s="288"/>
      <c r="Q39" s="288"/>
      <c r="R39" s="288"/>
      <c r="S39" s="222"/>
      <c r="T39" s="222"/>
    </row>
    <row r="40" spans="1:25" ht="14.5" customHeight="1" x14ac:dyDescent="0.2">
      <c r="M40" s="222"/>
      <c r="N40" s="222"/>
      <c r="O40" s="288"/>
      <c r="P40" s="288"/>
      <c r="Q40" s="288"/>
      <c r="R40" s="288"/>
      <c r="S40" s="222"/>
      <c r="T40" s="222"/>
    </row>
    <row r="41" spans="1:25" ht="14.5" customHeight="1" x14ac:dyDescent="0.2">
      <c r="M41" s="222"/>
      <c r="N41" s="222"/>
      <c r="O41" s="288"/>
      <c r="P41" s="288"/>
      <c r="Q41" s="288"/>
      <c r="R41" s="288"/>
      <c r="S41" s="222"/>
      <c r="T41" s="222"/>
    </row>
    <row r="42" spans="1:25" ht="14.5" customHeight="1" x14ac:dyDescent="0.2">
      <c r="M42" s="222"/>
      <c r="N42" s="222"/>
      <c r="O42" s="288"/>
      <c r="P42" s="288"/>
      <c r="Q42" s="288"/>
      <c r="R42" s="288"/>
      <c r="S42" s="222"/>
      <c r="T42" s="222"/>
    </row>
    <row r="43" spans="1:25" ht="14.5" customHeight="1" x14ac:dyDescent="0.2">
      <c r="M43" s="222"/>
      <c r="N43" s="222"/>
      <c r="O43" s="286" t="s">
        <v>155</v>
      </c>
      <c r="P43" s="286"/>
      <c r="Q43" s="286"/>
      <c r="R43" s="286"/>
      <c r="S43" s="286"/>
      <c r="T43" s="286"/>
    </row>
    <row r="44" spans="1:25" ht="14.5" customHeight="1" x14ac:dyDescent="0.2">
      <c r="M44" s="222"/>
      <c r="N44" s="222"/>
      <c r="O44" s="286"/>
      <c r="P44" s="286"/>
      <c r="Q44" s="286"/>
      <c r="R44" s="286"/>
      <c r="S44" s="286"/>
      <c r="T44" s="286"/>
    </row>
    <row r="45" spans="1:25" ht="23.25" customHeight="1" x14ac:dyDescent="0.2">
      <c r="M45" s="222"/>
      <c r="N45" s="222"/>
      <c r="O45" s="286"/>
      <c r="P45" s="286"/>
      <c r="Q45" s="286"/>
      <c r="R45" s="286"/>
      <c r="S45" s="286"/>
      <c r="T45" s="286"/>
    </row>
    <row r="46" spans="1:25" ht="14.5" customHeight="1" x14ac:dyDescent="0.2">
      <c r="A46" s="218"/>
      <c r="B46" s="218"/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22"/>
      <c r="N46" s="222"/>
      <c r="O46" s="286"/>
      <c r="P46" s="286"/>
      <c r="Q46" s="286"/>
      <c r="R46" s="286"/>
      <c r="S46" s="286"/>
      <c r="T46" s="286"/>
    </row>
    <row r="47" spans="1:25" ht="14.5" customHeight="1" x14ac:dyDescent="0.2">
      <c r="A47" s="223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2"/>
      <c r="N47" s="222"/>
      <c r="O47" s="286"/>
      <c r="P47" s="286"/>
      <c r="Q47" s="286"/>
      <c r="R47" s="286"/>
      <c r="S47" s="286"/>
      <c r="T47" s="286"/>
      <c r="U47" s="223"/>
      <c r="V47" s="223"/>
      <c r="W47" s="224"/>
      <c r="X47" s="224"/>
      <c r="Y47" s="224"/>
    </row>
    <row r="48" spans="1:25" ht="14.5" customHeight="1" x14ac:dyDescent="0.2"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2"/>
      <c r="N48" s="222"/>
      <c r="O48" s="286"/>
      <c r="P48" s="286"/>
      <c r="Q48" s="286"/>
      <c r="R48" s="286"/>
      <c r="S48" s="286"/>
      <c r="T48" s="286"/>
    </row>
    <row r="49" spans="3:23" ht="14.5" customHeight="1" x14ac:dyDescent="0.2">
      <c r="C49" s="225"/>
      <c r="D49" s="225"/>
      <c r="E49" s="225"/>
      <c r="F49" s="225"/>
      <c r="G49" s="225"/>
      <c r="M49" s="226"/>
      <c r="N49" s="226"/>
      <c r="O49" s="232"/>
      <c r="P49" s="232"/>
      <c r="Q49" s="232"/>
      <c r="R49" s="232"/>
      <c r="S49" s="226"/>
      <c r="T49" s="226"/>
    </row>
    <row r="50" spans="3:23" ht="14.5" customHeight="1" x14ac:dyDescent="0.2">
      <c r="C50" s="217"/>
      <c r="D50" s="217"/>
      <c r="E50" s="217"/>
      <c r="F50" s="217"/>
      <c r="G50" s="227"/>
      <c r="H50" s="227"/>
      <c r="I50" s="227"/>
      <c r="J50" s="227"/>
      <c r="K50" s="227"/>
      <c r="L50" s="227"/>
      <c r="M50" s="226"/>
      <c r="N50" s="226"/>
      <c r="O50" s="287">
        <f>'Main Variables'!AG4</f>
        <v>5.6058513189448442</v>
      </c>
      <c r="P50" s="287"/>
      <c r="Q50" s="287"/>
      <c r="R50" s="287"/>
      <c r="S50" s="287"/>
      <c r="T50" s="287"/>
    </row>
    <row r="51" spans="3:23" ht="14.5" customHeight="1" x14ac:dyDescent="0.2">
      <c r="C51" s="228"/>
      <c r="D51" s="228"/>
      <c r="E51" s="228"/>
      <c r="F51" s="228"/>
      <c r="G51" s="229"/>
      <c r="M51" s="226"/>
      <c r="N51" s="226"/>
      <c r="O51" s="287"/>
      <c r="P51" s="287"/>
      <c r="Q51" s="287"/>
      <c r="R51" s="287"/>
      <c r="S51" s="287"/>
      <c r="T51" s="287"/>
      <c r="U51" s="217"/>
      <c r="V51" s="217"/>
      <c r="W51" s="217"/>
    </row>
    <row r="52" spans="3:23" ht="14.5" customHeight="1" x14ac:dyDescent="0.2">
      <c r="C52" s="228"/>
      <c r="D52" s="228"/>
      <c r="E52" s="228"/>
      <c r="F52" s="228"/>
      <c r="G52" s="229"/>
      <c r="M52" s="226"/>
      <c r="N52" s="226"/>
      <c r="O52" s="287"/>
      <c r="P52" s="287"/>
      <c r="Q52" s="287"/>
      <c r="R52" s="287"/>
      <c r="S52" s="287"/>
      <c r="T52" s="287"/>
      <c r="U52" s="229"/>
      <c r="V52" s="229"/>
      <c r="W52" s="229"/>
    </row>
    <row r="53" spans="3:23" ht="14.5" customHeight="1" x14ac:dyDescent="0.2">
      <c r="C53" s="228"/>
      <c r="D53" s="228"/>
      <c r="E53" s="228"/>
      <c r="F53" s="228"/>
      <c r="G53" s="229"/>
      <c r="M53" s="226"/>
      <c r="N53" s="226"/>
      <c r="O53" s="287"/>
      <c r="P53" s="287"/>
      <c r="Q53" s="287"/>
      <c r="R53" s="287"/>
      <c r="S53" s="287"/>
      <c r="T53" s="287"/>
      <c r="U53" s="229"/>
      <c r="V53" s="229"/>
      <c r="W53" s="229"/>
    </row>
    <row r="54" spans="3:23" ht="14.5" customHeight="1" x14ac:dyDescent="0.2">
      <c r="C54" s="228"/>
      <c r="D54" s="228"/>
      <c r="E54" s="228"/>
      <c r="F54" s="228"/>
      <c r="G54" s="229"/>
      <c r="M54" s="226"/>
      <c r="N54" s="226"/>
      <c r="O54" s="226"/>
      <c r="P54" s="226"/>
      <c r="Q54" s="226"/>
      <c r="R54" s="226"/>
      <c r="S54" s="226"/>
      <c r="T54" s="226"/>
      <c r="U54" s="229"/>
      <c r="V54" s="229"/>
      <c r="W54" s="229"/>
    </row>
    <row r="55" spans="3:23" ht="14.5" customHeight="1" x14ac:dyDescent="0.2">
      <c r="C55" s="228"/>
      <c r="D55" s="228"/>
      <c r="E55" s="228"/>
      <c r="F55" s="228"/>
      <c r="G55" s="229"/>
      <c r="M55" s="226"/>
      <c r="N55" s="226"/>
      <c r="O55" s="226"/>
      <c r="P55" s="226"/>
      <c r="Q55" s="226"/>
      <c r="R55" s="226"/>
      <c r="S55" s="226"/>
      <c r="T55" s="226"/>
      <c r="U55" s="229"/>
      <c r="V55" s="229"/>
      <c r="W55" s="229"/>
    </row>
    <row r="56" spans="3:23" ht="14.5" customHeight="1" x14ac:dyDescent="0.2">
      <c r="C56" s="228"/>
      <c r="D56" s="228"/>
      <c r="E56" s="228"/>
      <c r="F56" s="228"/>
      <c r="G56" s="229"/>
      <c r="M56" s="226"/>
      <c r="N56" s="226"/>
      <c r="O56" s="226"/>
      <c r="P56" s="226"/>
      <c r="Q56" s="226"/>
      <c r="R56" s="226"/>
      <c r="S56" s="226"/>
      <c r="T56" s="226"/>
      <c r="U56" s="229"/>
      <c r="V56" s="229"/>
      <c r="W56" s="229"/>
    </row>
    <row r="57" spans="3:23" ht="14.5" customHeight="1" x14ac:dyDescent="0.2">
      <c r="C57" s="228"/>
      <c r="D57" s="228"/>
      <c r="E57" s="228"/>
      <c r="F57" s="228"/>
      <c r="G57" s="229"/>
      <c r="M57" s="226"/>
      <c r="N57" s="226"/>
      <c r="O57" s="226"/>
      <c r="P57" s="226"/>
      <c r="Q57" s="226"/>
      <c r="R57" s="226"/>
      <c r="S57" s="226"/>
      <c r="T57" s="226"/>
      <c r="U57" s="229"/>
      <c r="V57" s="229"/>
      <c r="W57" s="229"/>
    </row>
    <row r="58" spans="3:23" x14ac:dyDescent="0.2">
      <c r="C58" s="228"/>
      <c r="D58" s="228"/>
      <c r="E58" s="228"/>
      <c r="F58" s="228"/>
      <c r="G58" s="229"/>
      <c r="R58" s="229"/>
      <c r="S58" s="229"/>
      <c r="T58" s="229"/>
      <c r="U58" s="229"/>
      <c r="V58" s="229"/>
      <c r="W58" s="229"/>
    </row>
    <row r="59" spans="3:23" x14ac:dyDescent="0.2">
      <c r="C59" s="228"/>
      <c r="D59" s="228"/>
      <c r="E59" s="228"/>
      <c r="F59" s="228"/>
      <c r="G59" s="229"/>
      <c r="R59" s="229"/>
      <c r="S59" s="229"/>
      <c r="T59" s="229"/>
      <c r="U59" s="229"/>
      <c r="V59" s="229"/>
      <c r="W59" s="229"/>
    </row>
    <row r="60" spans="3:23" x14ac:dyDescent="0.2">
      <c r="C60" s="228"/>
      <c r="D60" s="228"/>
      <c r="E60" s="228"/>
      <c r="F60" s="228"/>
      <c r="G60" s="229"/>
      <c r="R60" s="229"/>
      <c r="S60" s="229"/>
      <c r="T60" s="229"/>
      <c r="U60" s="229"/>
      <c r="V60" s="229"/>
      <c r="W60" s="229"/>
    </row>
    <row r="61" spans="3:23" x14ac:dyDescent="0.2">
      <c r="C61" s="228"/>
      <c r="D61" s="228"/>
      <c r="E61" s="228"/>
      <c r="F61" s="228"/>
      <c r="G61" s="229"/>
      <c r="R61" s="229"/>
      <c r="S61" s="229"/>
      <c r="T61" s="229"/>
      <c r="U61" s="229"/>
      <c r="V61" s="229"/>
      <c r="W61" s="229"/>
    </row>
    <row r="62" spans="3:23" x14ac:dyDescent="0.2">
      <c r="C62" s="228"/>
      <c r="D62" s="228"/>
      <c r="E62" s="228"/>
      <c r="F62" s="228"/>
      <c r="G62" s="229"/>
      <c r="R62" s="229"/>
      <c r="S62" s="229"/>
      <c r="T62" s="229"/>
      <c r="U62" s="229"/>
      <c r="V62" s="229"/>
      <c r="W62" s="229"/>
    </row>
    <row r="63" spans="3:23" s="306" customFormat="1" x14ac:dyDescent="0.2">
      <c r="C63" s="307"/>
      <c r="D63" s="307"/>
      <c r="E63" s="307"/>
      <c r="F63" s="307"/>
      <c r="G63" s="308"/>
      <c r="R63" s="308"/>
      <c r="S63" s="308"/>
      <c r="T63" s="308"/>
      <c r="U63" s="308"/>
      <c r="V63" s="308"/>
      <c r="W63" s="308"/>
    </row>
    <row r="64" spans="3:23" x14ac:dyDescent="0.2">
      <c r="C64" s="228"/>
      <c r="D64" s="228"/>
      <c r="E64" s="228"/>
      <c r="F64" s="228"/>
      <c r="G64" s="229"/>
      <c r="R64" s="229"/>
      <c r="S64" s="229"/>
      <c r="T64" s="229"/>
      <c r="U64" s="229"/>
      <c r="V64" s="229"/>
      <c r="W64" s="229"/>
    </row>
    <row r="65" spans="3:36" x14ac:dyDescent="0.2">
      <c r="C65" s="228"/>
      <c r="D65" s="228"/>
      <c r="E65" s="228"/>
      <c r="F65" s="228"/>
      <c r="G65" s="229"/>
      <c r="R65" s="229"/>
      <c r="S65" s="229"/>
      <c r="T65" s="229"/>
      <c r="U65" s="229"/>
      <c r="V65" s="229"/>
      <c r="W65" s="229"/>
      <c r="AA65" s="305" t="s">
        <v>215</v>
      </c>
      <c r="AB65" s="305"/>
      <c r="AC65" s="305"/>
      <c r="AD65" s="305"/>
      <c r="AE65" s="305"/>
      <c r="AF65" s="305"/>
      <c r="AG65" s="305"/>
      <c r="AH65" s="305"/>
      <c r="AI65" s="305"/>
      <c r="AJ65" s="305"/>
    </row>
    <row r="66" spans="3:36" x14ac:dyDescent="0.2">
      <c r="C66" s="228"/>
      <c r="D66" s="228"/>
      <c r="E66" s="228"/>
      <c r="F66" s="228"/>
      <c r="G66" s="229"/>
      <c r="R66" s="229"/>
      <c r="S66" s="229"/>
      <c r="T66" s="229"/>
      <c r="U66" s="229"/>
      <c r="V66" s="229"/>
      <c r="W66" s="229"/>
      <c r="AA66" s="305"/>
      <c r="AB66" s="305"/>
      <c r="AC66" s="305"/>
      <c r="AD66" s="305"/>
      <c r="AE66" s="305"/>
      <c r="AF66" s="305"/>
      <c r="AG66" s="305"/>
      <c r="AH66" s="305"/>
      <c r="AI66" s="305"/>
      <c r="AJ66" s="305"/>
    </row>
    <row r="67" spans="3:36" x14ac:dyDescent="0.2">
      <c r="C67" s="228"/>
      <c r="D67" s="228"/>
      <c r="E67" s="228"/>
      <c r="F67" s="228"/>
      <c r="G67" s="229"/>
      <c r="R67" s="229"/>
      <c r="S67" s="229"/>
      <c r="T67" s="229"/>
      <c r="U67" s="229"/>
      <c r="V67" s="229"/>
      <c r="W67" s="229"/>
      <c r="AA67" s="305"/>
      <c r="AB67" s="305"/>
      <c r="AC67" s="305"/>
      <c r="AD67" s="305"/>
      <c r="AE67" s="305"/>
      <c r="AF67" s="305"/>
      <c r="AG67" s="305"/>
      <c r="AH67" s="305"/>
      <c r="AI67" s="305"/>
      <c r="AJ67" s="305"/>
    </row>
    <row r="68" spans="3:36" x14ac:dyDescent="0.2">
      <c r="C68" s="228"/>
      <c r="D68" s="228"/>
      <c r="E68" s="228"/>
      <c r="F68" s="228"/>
      <c r="G68" s="229"/>
      <c r="R68" s="229"/>
      <c r="S68" s="229"/>
      <c r="T68" s="229"/>
      <c r="U68" s="229"/>
      <c r="V68" s="229"/>
      <c r="W68" s="229"/>
      <c r="AA68" s="305"/>
      <c r="AB68" s="305"/>
      <c r="AC68" s="305"/>
      <c r="AD68" s="305"/>
      <c r="AE68" s="305"/>
      <c r="AF68" s="305"/>
      <c r="AG68" s="305"/>
      <c r="AH68" s="305"/>
      <c r="AI68" s="305"/>
      <c r="AJ68" s="305"/>
    </row>
    <row r="69" spans="3:36" x14ac:dyDescent="0.2">
      <c r="C69" s="228"/>
      <c r="D69" s="228"/>
      <c r="E69" s="228"/>
      <c r="F69" s="228"/>
      <c r="G69" s="229"/>
      <c r="R69" s="229"/>
      <c r="S69" s="229"/>
      <c r="T69" s="229"/>
      <c r="U69" s="229"/>
      <c r="V69" s="229"/>
      <c r="W69" s="229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</row>
    <row r="70" spans="3:36" x14ac:dyDescent="0.2">
      <c r="C70" s="228"/>
      <c r="D70" s="228"/>
      <c r="E70" s="228"/>
      <c r="F70" s="228"/>
      <c r="G70" s="229"/>
      <c r="R70" s="229"/>
      <c r="S70" s="229"/>
      <c r="T70" s="229"/>
      <c r="U70" s="229"/>
      <c r="V70" s="229"/>
      <c r="W70" s="229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</row>
    <row r="71" spans="3:36" x14ac:dyDescent="0.2">
      <c r="C71" s="228"/>
      <c r="D71" s="228"/>
      <c r="E71" s="228"/>
      <c r="F71" s="228"/>
      <c r="G71" s="229"/>
      <c r="R71" s="229"/>
      <c r="S71" s="229"/>
      <c r="T71" s="229"/>
      <c r="U71" s="229"/>
      <c r="V71" s="229"/>
      <c r="W71" s="229"/>
      <c r="AA71" s="305"/>
      <c r="AB71" s="305"/>
      <c r="AC71" s="305"/>
      <c r="AD71" s="305"/>
      <c r="AE71" s="305"/>
      <c r="AF71" s="305"/>
      <c r="AG71" s="305"/>
      <c r="AH71" s="305"/>
      <c r="AI71" s="305"/>
      <c r="AJ71" s="305"/>
    </row>
    <row r="72" spans="3:36" x14ac:dyDescent="0.2">
      <c r="C72" s="228"/>
      <c r="D72" s="228"/>
      <c r="E72" s="228"/>
      <c r="F72" s="228"/>
      <c r="G72" s="229"/>
      <c r="R72" s="229"/>
      <c r="S72" s="229"/>
      <c r="T72" s="229"/>
      <c r="U72" s="229"/>
      <c r="V72" s="229"/>
      <c r="W72" s="229"/>
      <c r="AA72" s="305"/>
      <c r="AB72" s="305"/>
      <c r="AC72" s="305"/>
      <c r="AD72" s="305"/>
      <c r="AE72" s="305"/>
      <c r="AF72" s="305"/>
      <c r="AG72" s="305"/>
      <c r="AH72" s="305"/>
      <c r="AI72" s="305"/>
      <c r="AJ72" s="305"/>
    </row>
    <row r="73" spans="3:36" x14ac:dyDescent="0.2">
      <c r="C73" s="228"/>
      <c r="D73" s="228"/>
      <c r="E73" s="228"/>
      <c r="F73" s="228"/>
      <c r="G73" s="229"/>
      <c r="R73" s="229"/>
      <c r="S73" s="229"/>
      <c r="T73" s="229"/>
      <c r="U73" s="229"/>
      <c r="V73" s="229"/>
      <c r="W73" s="229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</row>
    <row r="74" spans="3:36" x14ac:dyDescent="0.2">
      <c r="C74" s="228"/>
      <c r="D74" s="228"/>
      <c r="E74" s="228"/>
      <c r="F74" s="228"/>
      <c r="G74" s="229"/>
      <c r="R74" s="229"/>
      <c r="S74" s="229"/>
      <c r="T74" s="229"/>
      <c r="U74" s="229"/>
      <c r="V74" s="229"/>
      <c r="W74" s="229"/>
    </row>
    <row r="75" spans="3:36" x14ac:dyDescent="0.2">
      <c r="C75" s="228"/>
      <c r="D75" s="228"/>
      <c r="E75" s="228"/>
      <c r="F75" s="228"/>
      <c r="G75" s="229"/>
      <c r="R75" s="229"/>
      <c r="S75" s="229"/>
      <c r="T75" s="229"/>
      <c r="U75" s="229"/>
      <c r="V75" s="229"/>
      <c r="W75" s="229"/>
    </row>
    <row r="76" spans="3:36" x14ac:dyDescent="0.2">
      <c r="C76" s="228"/>
      <c r="D76" s="228"/>
      <c r="E76" s="228"/>
      <c r="F76" s="228"/>
      <c r="G76" s="229"/>
      <c r="R76" s="229"/>
      <c r="S76" s="229"/>
      <c r="T76" s="229"/>
      <c r="U76" s="229"/>
      <c r="V76" s="229"/>
      <c r="W76" s="229"/>
    </row>
    <row r="77" spans="3:36" x14ac:dyDescent="0.2">
      <c r="C77" s="228"/>
      <c r="D77" s="228"/>
      <c r="E77" s="228"/>
      <c r="F77" s="228"/>
      <c r="G77" s="229"/>
      <c r="R77" s="229"/>
      <c r="S77" s="229"/>
      <c r="T77" s="229"/>
      <c r="U77" s="229"/>
      <c r="V77" s="229"/>
      <c r="W77" s="229"/>
    </row>
    <row r="78" spans="3:36" x14ac:dyDescent="0.2">
      <c r="C78" s="228"/>
      <c r="D78" s="228"/>
      <c r="E78" s="228"/>
      <c r="F78" s="228"/>
      <c r="G78" s="229"/>
      <c r="R78" s="229"/>
      <c r="S78" s="229"/>
      <c r="T78" s="229"/>
      <c r="U78" s="229"/>
      <c r="V78" s="229"/>
      <c r="W78" s="229"/>
    </row>
    <row r="79" spans="3:36" x14ac:dyDescent="0.2">
      <c r="C79" s="228"/>
      <c r="D79" s="228"/>
      <c r="E79" s="228"/>
      <c r="F79" s="228"/>
      <c r="G79" s="229"/>
      <c r="R79" s="229"/>
      <c r="S79" s="229"/>
      <c r="T79" s="229"/>
      <c r="U79" s="229"/>
      <c r="V79" s="229"/>
      <c r="W79" s="229"/>
    </row>
    <row r="80" spans="3:36" x14ac:dyDescent="0.2">
      <c r="C80" s="228"/>
      <c r="D80" s="228"/>
      <c r="E80" s="228"/>
      <c r="F80" s="228"/>
      <c r="G80" s="229"/>
      <c r="R80" s="229"/>
      <c r="S80" s="229"/>
      <c r="T80" s="229"/>
      <c r="U80" s="229"/>
      <c r="V80" s="229"/>
      <c r="W80" s="229"/>
    </row>
    <row r="81" spans="26:31" x14ac:dyDescent="0.2">
      <c r="Z81" s="229"/>
      <c r="AA81" s="229"/>
      <c r="AB81" s="229"/>
      <c r="AC81" s="229"/>
      <c r="AD81" s="229"/>
      <c r="AE81" s="229"/>
    </row>
    <row r="109" spans="1:22" x14ac:dyDescent="0.2">
      <c r="A109" s="223"/>
      <c r="B109" s="223"/>
      <c r="C109" s="223"/>
      <c r="D109" s="223"/>
      <c r="E109" s="223"/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</row>
    <row r="110" spans="1:22" x14ac:dyDescent="0.2">
      <c r="A110" s="223"/>
      <c r="B110" s="223"/>
      <c r="C110" s="223"/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</row>
    <row r="111" spans="1:22" x14ac:dyDescent="0.2">
      <c r="A111" s="223"/>
      <c r="B111" s="223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</row>
    <row r="112" spans="1:22" x14ac:dyDescent="0.2">
      <c r="A112" s="223"/>
      <c r="B112" s="223"/>
      <c r="C112" s="223"/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</row>
    <row r="113" spans="1:22" x14ac:dyDescent="0.2">
      <c r="A113" s="223"/>
      <c r="B113" s="223"/>
      <c r="C113" s="223"/>
      <c r="D113" s="223"/>
      <c r="E113" s="223"/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</row>
    <row r="114" spans="1:22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</row>
    <row r="115" spans="1:22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</row>
    <row r="116" spans="1:22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</row>
    <row r="117" spans="1:22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</row>
    <row r="118" spans="1:22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</row>
    <row r="119" spans="1:22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</row>
    <row r="120" spans="1:22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</row>
    <row r="121" spans="1:22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</row>
    <row r="122" spans="1:22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</row>
    <row r="123" spans="1:22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</row>
    <row r="124" spans="1:22" x14ac:dyDescent="0.2">
      <c r="A124" s="223"/>
      <c r="B124" s="223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</row>
    <row r="125" spans="1:22" x14ac:dyDescent="0.2">
      <c r="A125" s="223"/>
      <c r="B125" s="223"/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</row>
    <row r="126" spans="1:22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</row>
    <row r="127" spans="1:22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</row>
    <row r="128" spans="1:22" x14ac:dyDescent="0.2">
      <c r="A128" s="223"/>
      <c r="B128" s="223"/>
      <c r="C128" s="223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</row>
    <row r="129" spans="1:22" x14ac:dyDescent="0.2">
      <c r="A129" s="223"/>
      <c r="B129" s="223"/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</row>
    <row r="130" spans="1:22" x14ac:dyDescent="0.2">
      <c r="A130" s="223"/>
      <c r="B130" s="223"/>
      <c r="C130" s="223"/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</row>
    <row r="131" spans="1:22" x14ac:dyDescent="0.2">
      <c r="A131" s="223"/>
      <c r="B131" s="223"/>
      <c r="C131" s="223"/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</row>
    <row r="132" spans="1:22" x14ac:dyDescent="0.2">
      <c r="A132" s="223"/>
      <c r="B132" s="223"/>
      <c r="C132" s="223"/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3"/>
      <c r="S132" s="223"/>
      <c r="T132" s="223"/>
      <c r="U132" s="223"/>
      <c r="V132" s="223"/>
    </row>
    <row r="133" spans="1:22" x14ac:dyDescent="0.2">
      <c r="A133" s="223"/>
      <c r="B133" s="223"/>
      <c r="C133" s="223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</row>
    <row r="134" spans="1:22" x14ac:dyDescent="0.2">
      <c r="A134" s="223"/>
      <c r="B134" s="223"/>
      <c r="C134" s="223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</row>
    <row r="135" spans="1:22" x14ac:dyDescent="0.2">
      <c r="A135" s="223"/>
      <c r="B135" s="223"/>
      <c r="C135" s="223"/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</row>
    <row r="136" spans="1:22" x14ac:dyDescent="0.2">
      <c r="A136" s="223"/>
      <c r="B136" s="223"/>
      <c r="C136" s="223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</row>
    <row r="137" spans="1:22" x14ac:dyDescent="0.2">
      <c r="A137" s="223"/>
      <c r="B137" s="223"/>
      <c r="C137" s="223"/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</row>
    <row r="138" spans="1:22" x14ac:dyDescent="0.2">
      <c r="A138" s="223"/>
      <c r="B138" s="223"/>
      <c r="C138" s="223"/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</row>
    <row r="139" spans="1:22" x14ac:dyDescent="0.2">
      <c r="A139" s="223"/>
      <c r="B139" s="223"/>
      <c r="C139" s="223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</row>
    <row r="140" spans="1:22" x14ac:dyDescent="0.2">
      <c r="A140" s="223"/>
      <c r="B140" s="223"/>
      <c r="C140" s="223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</row>
    <row r="141" spans="1:22" x14ac:dyDescent="0.2">
      <c r="A141" s="223"/>
      <c r="B141" s="223"/>
      <c r="C141" s="223"/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</row>
    <row r="142" spans="1:22" x14ac:dyDescent="0.2">
      <c r="A142" s="223"/>
      <c r="B142" s="223"/>
      <c r="C142" s="223"/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</row>
    <row r="143" spans="1:22" x14ac:dyDescent="0.2">
      <c r="A143" s="223"/>
      <c r="B143" s="223"/>
      <c r="C143" s="223"/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</row>
    <row r="144" spans="1:22" x14ac:dyDescent="0.2">
      <c r="A144" s="223"/>
      <c r="B144" s="223"/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</row>
    <row r="145" spans="1:22" x14ac:dyDescent="0.2">
      <c r="A145" s="223"/>
      <c r="B145" s="223"/>
      <c r="C145" s="223"/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</row>
    <row r="146" spans="1:22" x14ac:dyDescent="0.2">
      <c r="A146" s="223"/>
      <c r="B146" s="223"/>
      <c r="C146" s="223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</row>
    <row r="147" spans="1:22" x14ac:dyDescent="0.2">
      <c r="A147" s="223"/>
      <c r="B147" s="223"/>
      <c r="C147" s="223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</row>
    <row r="148" spans="1:22" x14ac:dyDescent="0.2">
      <c r="A148" s="223"/>
      <c r="B148" s="223"/>
      <c r="C148" s="223"/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</row>
    <row r="149" spans="1:22" x14ac:dyDescent="0.2">
      <c r="A149" s="223"/>
      <c r="B149" s="223"/>
      <c r="C149" s="223"/>
      <c r="D149" s="223"/>
      <c r="E149" s="223"/>
      <c r="F149" s="223"/>
      <c r="G149" s="223"/>
      <c r="H149" s="223"/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</row>
    <row r="150" spans="1:22" x14ac:dyDescent="0.2">
      <c r="A150" s="223"/>
      <c r="B150" s="223"/>
      <c r="C150" s="223"/>
      <c r="D150" s="223"/>
      <c r="E150" s="223"/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</row>
    <row r="151" spans="1:22" x14ac:dyDescent="0.2">
      <c r="A151" s="223"/>
      <c r="B151" s="223"/>
      <c r="C151" s="223"/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</row>
    <row r="152" spans="1:22" x14ac:dyDescent="0.2">
      <c r="A152" s="223"/>
      <c r="B152" s="223"/>
      <c r="C152" s="223"/>
      <c r="D152" s="223"/>
      <c r="E152" s="223"/>
      <c r="F152" s="223"/>
      <c r="G152" s="223"/>
      <c r="H152" s="223"/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</row>
    <row r="153" spans="1:22" x14ac:dyDescent="0.2">
      <c r="A153" s="223"/>
      <c r="B153" s="223"/>
      <c r="C153" s="223"/>
      <c r="D153" s="223"/>
      <c r="E153" s="223"/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</row>
    <row r="154" spans="1:22" x14ac:dyDescent="0.2">
      <c r="A154" s="223"/>
      <c r="B154" s="223"/>
      <c r="C154" s="223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23"/>
      <c r="U154" s="223"/>
      <c r="V154" s="223"/>
    </row>
    <row r="155" spans="1:22" x14ac:dyDescent="0.2">
      <c r="A155" s="223"/>
      <c r="B155" s="223"/>
      <c r="C155" s="223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</row>
    <row r="156" spans="1:22" x14ac:dyDescent="0.2">
      <c r="A156" s="223"/>
      <c r="B156" s="223"/>
      <c r="C156" s="223"/>
      <c r="D156" s="223"/>
      <c r="E156" s="223"/>
      <c r="F156" s="223"/>
      <c r="G156" s="223"/>
      <c r="H156" s="223"/>
      <c r="I156" s="223"/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</row>
    <row r="157" spans="1:22" x14ac:dyDescent="0.2">
      <c r="A157" s="223"/>
      <c r="B157" s="223"/>
      <c r="C157" s="223"/>
      <c r="D157" s="223"/>
      <c r="E157" s="223"/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</row>
    <row r="158" spans="1:22" x14ac:dyDescent="0.2">
      <c r="A158" s="223"/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</row>
    <row r="159" spans="1:22" x14ac:dyDescent="0.2">
      <c r="A159" s="223"/>
      <c r="B159" s="223"/>
      <c r="C159" s="223"/>
      <c r="D159" s="223"/>
      <c r="E159" s="223"/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</row>
    <row r="160" spans="1:22" x14ac:dyDescent="0.2">
      <c r="A160" s="223"/>
      <c r="B160" s="223"/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</row>
    <row r="161" spans="1:22" x14ac:dyDescent="0.2">
      <c r="A161" s="223"/>
      <c r="B161" s="223"/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</row>
    <row r="162" spans="1:22" x14ac:dyDescent="0.2">
      <c r="A162" s="223"/>
      <c r="B162" s="223"/>
      <c r="C162" s="223"/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</row>
    <row r="163" spans="1:22" x14ac:dyDescent="0.2">
      <c r="A163" s="223"/>
      <c r="B163" s="223"/>
      <c r="C163" s="223"/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</row>
    <row r="164" spans="1:22" x14ac:dyDescent="0.2">
      <c r="A164" s="223"/>
      <c r="B164" s="223"/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</row>
    <row r="165" spans="1:22" x14ac:dyDescent="0.2">
      <c r="A165" s="223"/>
      <c r="B165" s="223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</row>
    <row r="166" spans="1:22" x14ac:dyDescent="0.2">
      <c r="A166" s="223"/>
      <c r="B166" s="223"/>
      <c r="C166" s="223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</row>
    <row r="167" spans="1:22" x14ac:dyDescent="0.2">
      <c r="A167" s="223"/>
      <c r="B167" s="223"/>
      <c r="C167" s="223"/>
      <c r="D167" s="223"/>
      <c r="E167" s="223"/>
      <c r="F167" s="223"/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</row>
    <row r="168" spans="1:22" x14ac:dyDescent="0.2">
      <c r="A168" s="223"/>
      <c r="B168" s="223"/>
      <c r="C168" s="223"/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</row>
    <row r="169" spans="1:22" x14ac:dyDescent="0.2">
      <c r="A169" s="223"/>
      <c r="B169" s="223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</row>
    <row r="170" spans="1:22" x14ac:dyDescent="0.2">
      <c r="A170" s="223"/>
      <c r="B170" s="223"/>
      <c r="C170" s="223"/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</row>
    <row r="171" spans="1:22" x14ac:dyDescent="0.2">
      <c r="A171" s="223"/>
      <c r="B171" s="223"/>
      <c r="C171" s="223"/>
      <c r="D171" s="223"/>
      <c r="E171" s="223"/>
      <c r="F171" s="223"/>
      <c r="G171" s="223"/>
      <c r="H171" s="223"/>
      <c r="I171" s="223"/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</row>
    <row r="172" spans="1:22" x14ac:dyDescent="0.2">
      <c r="A172" s="223"/>
      <c r="B172" s="223"/>
      <c r="C172" s="223"/>
      <c r="D172" s="223"/>
      <c r="E172" s="22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</row>
    <row r="173" spans="1:22" x14ac:dyDescent="0.2">
      <c r="A173" s="223"/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</row>
    <row r="174" spans="1:22" x14ac:dyDescent="0.2">
      <c r="A174" s="223"/>
      <c r="B174" s="223"/>
      <c r="C174" s="223"/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</row>
    <row r="175" spans="1:22" x14ac:dyDescent="0.2">
      <c r="A175" s="223"/>
      <c r="B175" s="223"/>
      <c r="C175" s="223"/>
      <c r="D175" s="223"/>
      <c r="E175" s="223"/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</row>
    <row r="176" spans="1:22" x14ac:dyDescent="0.2">
      <c r="A176" s="223"/>
      <c r="B176" s="223"/>
      <c r="C176" s="223"/>
      <c r="D176" s="223"/>
      <c r="E176" s="223"/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</row>
    <row r="177" spans="1:22" x14ac:dyDescent="0.2">
      <c r="A177" s="223"/>
      <c r="B177" s="223"/>
      <c r="C177" s="223"/>
      <c r="D177" s="223"/>
      <c r="E177" s="223"/>
      <c r="F177" s="223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23"/>
      <c r="U177" s="223"/>
      <c r="V177" s="223"/>
    </row>
    <row r="178" spans="1:22" x14ac:dyDescent="0.2">
      <c r="A178" s="223"/>
      <c r="B178" s="223"/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</row>
    <row r="179" spans="1:22" x14ac:dyDescent="0.2">
      <c r="A179" s="223"/>
      <c r="B179" s="223"/>
      <c r="C179" s="223"/>
      <c r="D179" s="223"/>
      <c r="E179" s="223"/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</row>
    <row r="180" spans="1:22" x14ac:dyDescent="0.2">
      <c r="A180" s="223"/>
      <c r="B180" s="223"/>
      <c r="C180" s="223"/>
      <c r="D180" s="223"/>
      <c r="E180" s="223"/>
      <c r="F180" s="223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</row>
    <row r="181" spans="1:22" x14ac:dyDescent="0.2">
      <c r="A181" s="223"/>
      <c r="B181" s="223"/>
      <c r="C181" s="223"/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</row>
    <row r="182" spans="1:22" x14ac:dyDescent="0.2">
      <c r="A182" s="223"/>
      <c r="B182" s="223"/>
      <c r="C182" s="223"/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</row>
    <row r="183" spans="1:22" x14ac:dyDescent="0.2">
      <c r="A183" s="223"/>
      <c r="B183" s="223"/>
      <c r="C183" s="223"/>
      <c r="D183" s="223"/>
      <c r="E183" s="223"/>
      <c r="F183" s="223"/>
      <c r="G183" s="223"/>
      <c r="H183" s="223"/>
      <c r="I183" s="223"/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</row>
    <row r="184" spans="1:22" x14ac:dyDescent="0.2">
      <c r="A184" s="223"/>
      <c r="B184" s="223"/>
      <c r="C184" s="223"/>
      <c r="D184" s="223"/>
      <c r="E184" s="223"/>
      <c r="F184" s="223"/>
      <c r="G184" s="223"/>
      <c r="H184" s="223"/>
      <c r="I184" s="223"/>
      <c r="J184" s="223"/>
      <c r="K184" s="223"/>
      <c r="L184" s="223"/>
      <c r="M184" s="223"/>
      <c r="N184" s="223"/>
      <c r="O184" s="223"/>
      <c r="P184" s="223"/>
      <c r="Q184" s="223"/>
      <c r="R184" s="223"/>
      <c r="S184" s="223"/>
      <c r="T184" s="223"/>
      <c r="U184" s="223"/>
      <c r="V184" s="223"/>
    </row>
    <row r="185" spans="1:22" x14ac:dyDescent="0.2">
      <c r="A185" s="223"/>
      <c r="B185" s="223"/>
      <c r="C185" s="223"/>
      <c r="D185" s="223"/>
      <c r="E185" s="223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</row>
    <row r="186" spans="1:22" x14ac:dyDescent="0.2">
      <c r="A186" s="223"/>
      <c r="B186" s="223"/>
      <c r="C186" s="223"/>
      <c r="D186" s="223"/>
      <c r="E186" s="223"/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</row>
    <row r="187" spans="1:22" x14ac:dyDescent="0.2">
      <c r="A187" s="223"/>
      <c r="B187" s="223"/>
      <c r="C187" s="223"/>
      <c r="D187" s="223"/>
      <c r="E187" s="223"/>
      <c r="F187" s="223"/>
      <c r="G187" s="223"/>
      <c r="H187" s="223"/>
      <c r="I187" s="223"/>
      <c r="J187" s="223"/>
      <c r="K187" s="223"/>
      <c r="L187" s="223"/>
      <c r="M187" s="223"/>
      <c r="N187" s="223"/>
      <c r="O187" s="223"/>
      <c r="P187" s="223"/>
      <c r="Q187" s="223"/>
      <c r="R187" s="223"/>
      <c r="S187" s="223"/>
      <c r="T187" s="223"/>
      <c r="U187" s="223"/>
      <c r="V187" s="223"/>
    </row>
    <row r="188" spans="1:22" x14ac:dyDescent="0.2">
      <c r="A188" s="223"/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  <c r="L188" s="223"/>
      <c r="M188" s="223"/>
      <c r="N188" s="223"/>
      <c r="O188" s="223"/>
      <c r="P188" s="223"/>
      <c r="Q188" s="223"/>
      <c r="R188" s="223"/>
      <c r="S188" s="223"/>
      <c r="T188" s="223"/>
      <c r="U188" s="223"/>
      <c r="V188" s="223"/>
    </row>
    <row r="189" spans="1:22" x14ac:dyDescent="0.2">
      <c r="A189" s="223"/>
      <c r="B189" s="223"/>
      <c r="C189" s="223"/>
      <c r="D189" s="223"/>
      <c r="E189" s="223"/>
      <c r="F189" s="223"/>
      <c r="G189" s="223"/>
      <c r="H189" s="223"/>
      <c r="I189" s="223"/>
      <c r="J189" s="223"/>
      <c r="K189" s="223"/>
      <c r="L189" s="223"/>
      <c r="M189" s="223"/>
      <c r="N189" s="223"/>
      <c r="O189" s="223"/>
      <c r="P189" s="223"/>
      <c r="Q189" s="223"/>
      <c r="R189" s="223"/>
      <c r="S189" s="223"/>
      <c r="T189" s="223"/>
      <c r="U189" s="223"/>
      <c r="V189" s="223"/>
    </row>
    <row r="190" spans="1:22" x14ac:dyDescent="0.2">
      <c r="A190" s="223"/>
      <c r="B190" s="223"/>
      <c r="C190" s="223"/>
      <c r="D190" s="223"/>
      <c r="E190" s="223"/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</row>
    <row r="191" spans="1:22" x14ac:dyDescent="0.2">
      <c r="A191" s="223"/>
      <c r="B191" s="223"/>
      <c r="C191" s="223"/>
      <c r="D191" s="223"/>
      <c r="E191" s="223"/>
      <c r="F191" s="223"/>
      <c r="G191" s="223"/>
      <c r="H191" s="223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</row>
    <row r="192" spans="1:22" x14ac:dyDescent="0.2">
      <c r="A192" s="223"/>
      <c r="B192" s="223"/>
      <c r="C192" s="223"/>
      <c r="D192" s="223"/>
      <c r="E192" s="223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</row>
    <row r="193" spans="1:22" x14ac:dyDescent="0.2">
      <c r="A193" s="223"/>
      <c r="B193" s="223"/>
      <c r="C193" s="223"/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</row>
    <row r="194" spans="1:22" x14ac:dyDescent="0.2">
      <c r="A194" s="223"/>
      <c r="B194" s="223"/>
      <c r="C194" s="223"/>
      <c r="D194" s="223"/>
      <c r="E194" s="223"/>
      <c r="F194" s="223"/>
      <c r="G194" s="223"/>
      <c r="H194" s="223"/>
      <c r="I194" s="223"/>
      <c r="J194" s="223"/>
      <c r="K194" s="223"/>
      <c r="L194" s="223"/>
      <c r="M194" s="223"/>
      <c r="N194" s="223"/>
      <c r="O194" s="223"/>
      <c r="P194" s="223"/>
      <c r="Q194" s="223"/>
      <c r="R194" s="223"/>
      <c r="S194" s="223"/>
      <c r="T194" s="223"/>
      <c r="U194" s="223"/>
      <c r="V194" s="223"/>
    </row>
    <row r="195" spans="1:22" x14ac:dyDescent="0.2">
      <c r="A195" s="223"/>
      <c r="B195" s="223"/>
      <c r="C195" s="223"/>
      <c r="D195" s="223"/>
      <c r="E195" s="223"/>
      <c r="F195" s="223"/>
      <c r="G195" s="223"/>
      <c r="H195" s="223"/>
      <c r="I195" s="223"/>
      <c r="J195" s="223"/>
      <c r="K195" s="223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3"/>
    </row>
    <row r="196" spans="1:22" x14ac:dyDescent="0.2">
      <c r="A196" s="223"/>
      <c r="B196" s="223"/>
      <c r="C196" s="223"/>
      <c r="D196" s="223"/>
      <c r="E196" s="223"/>
      <c r="F196" s="223"/>
      <c r="G196" s="223"/>
      <c r="H196" s="223"/>
      <c r="I196" s="223"/>
      <c r="J196" s="223"/>
      <c r="K196" s="223"/>
      <c r="L196" s="223"/>
      <c r="M196" s="223"/>
      <c r="N196" s="223"/>
      <c r="O196" s="223"/>
      <c r="P196" s="223"/>
      <c r="Q196" s="223"/>
      <c r="R196" s="223"/>
      <c r="S196" s="223"/>
      <c r="T196" s="223"/>
      <c r="U196" s="223"/>
      <c r="V196" s="223"/>
    </row>
    <row r="197" spans="1:22" x14ac:dyDescent="0.2">
      <c r="A197" s="223"/>
      <c r="B197" s="223"/>
      <c r="C197" s="223"/>
      <c r="D197" s="223"/>
      <c r="E197" s="223"/>
      <c r="F197" s="223"/>
      <c r="G197" s="223"/>
      <c r="H197" s="223"/>
      <c r="I197" s="223"/>
      <c r="J197" s="223"/>
      <c r="K197" s="223"/>
      <c r="L197" s="223"/>
      <c r="M197" s="223"/>
      <c r="N197" s="223"/>
      <c r="O197" s="223"/>
      <c r="P197" s="223"/>
      <c r="Q197" s="223"/>
      <c r="R197" s="223"/>
      <c r="S197" s="223"/>
      <c r="T197" s="223"/>
      <c r="U197" s="223"/>
      <c r="V197" s="223"/>
    </row>
    <row r="198" spans="1:22" x14ac:dyDescent="0.2">
      <c r="A198" s="223"/>
      <c r="B198" s="223"/>
      <c r="C198" s="223"/>
      <c r="D198" s="223"/>
      <c r="E198" s="223"/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23"/>
      <c r="U198" s="223"/>
      <c r="V198" s="223"/>
    </row>
    <row r="199" spans="1:22" x14ac:dyDescent="0.2">
      <c r="A199" s="223"/>
      <c r="B199" s="223"/>
      <c r="C199" s="223"/>
      <c r="D199" s="223"/>
      <c r="E199" s="223"/>
      <c r="F199" s="223"/>
      <c r="G199" s="223"/>
      <c r="H199" s="223"/>
      <c r="I199" s="223"/>
      <c r="J199" s="223"/>
      <c r="K199" s="223"/>
      <c r="L199" s="223"/>
      <c r="M199" s="223"/>
      <c r="N199" s="223"/>
      <c r="O199" s="223"/>
      <c r="P199" s="223"/>
      <c r="Q199" s="223"/>
      <c r="R199" s="223"/>
      <c r="S199" s="223"/>
      <c r="T199" s="223"/>
      <c r="U199" s="223"/>
      <c r="V199" s="223"/>
    </row>
    <row r="200" spans="1:22" x14ac:dyDescent="0.2">
      <c r="A200" s="223"/>
      <c r="B200" s="223"/>
      <c r="C200" s="223"/>
      <c r="D200" s="223"/>
      <c r="E200" s="223"/>
      <c r="F200" s="223"/>
      <c r="G200" s="223"/>
      <c r="H200" s="223"/>
      <c r="I200" s="223"/>
      <c r="J200" s="223"/>
      <c r="K200" s="223"/>
      <c r="L200" s="223"/>
      <c r="M200" s="223"/>
      <c r="N200" s="223"/>
      <c r="O200" s="223"/>
      <c r="P200" s="223"/>
      <c r="Q200" s="223"/>
      <c r="R200" s="223"/>
      <c r="S200" s="223"/>
      <c r="T200" s="223"/>
      <c r="U200" s="223"/>
      <c r="V200" s="223"/>
    </row>
    <row r="201" spans="1:22" x14ac:dyDescent="0.2">
      <c r="A201" s="223"/>
      <c r="B201" s="223"/>
      <c r="C201" s="223"/>
      <c r="D201" s="223"/>
      <c r="E201" s="223"/>
      <c r="F201" s="223"/>
      <c r="G201" s="223"/>
      <c r="H201" s="223"/>
      <c r="I201" s="223"/>
      <c r="J201" s="223"/>
      <c r="K201" s="223"/>
      <c r="L201" s="223"/>
      <c r="M201" s="223"/>
      <c r="N201" s="223"/>
      <c r="O201" s="223"/>
      <c r="P201" s="223"/>
      <c r="Q201" s="223"/>
      <c r="R201" s="223"/>
      <c r="S201" s="223"/>
      <c r="T201" s="223"/>
      <c r="U201" s="223"/>
      <c r="V201" s="223"/>
    </row>
    <row r="202" spans="1:22" x14ac:dyDescent="0.2">
      <c r="A202" s="223"/>
      <c r="B202" s="223"/>
      <c r="C202" s="223"/>
      <c r="D202" s="223"/>
      <c r="E202" s="223"/>
      <c r="F202" s="223"/>
      <c r="G202" s="223"/>
      <c r="H202" s="223"/>
      <c r="I202" s="223"/>
      <c r="J202" s="223"/>
      <c r="K202" s="223"/>
      <c r="L202" s="223"/>
      <c r="M202" s="223"/>
      <c r="N202" s="223"/>
      <c r="O202" s="223"/>
      <c r="P202" s="223"/>
      <c r="Q202" s="223"/>
      <c r="R202" s="223"/>
      <c r="S202" s="223"/>
      <c r="T202" s="223"/>
      <c r="U202" s="223"/>
      <c r="V202" s="223"/>
    </row>
    <row r="203" spans="1:22" x14ac:dyDescent="0.2">
      <c r="A203" s="223"/>
      <c r="B203" s="223"/>
      <c r="C203" s="223"/>
      <c r="D203" s="223"/>
      <c r="E203" s="223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3"/>
      <c r="Q203" s="223"/>
      <c r="R203" s="223"/>
      <c r="S203" s="223"/>
      <c r="T203" s="223"/>
      <c r="U203" s="223"/>
      <c r="V203" s="223"/>
    </row>
    <row r="204" spans="1:22" x14ac:dyDescent="0.2">
      <c r="A204" s="223"/>
      <c r="B204" s="223"/>
      <c r="C204" s="223"/>
      <c r="D204" s="223"/>
      <c r="E204" s="223"/>
      <c r="F204" s="223"/>
      <c r="G204" s="223"/>
      <c r="H204" s="223"/>
      <c r="I204" s="223"/>
      <c r="J204" s="223"/>
      <c r="K204" s="223"/>
      <c r="L204" s="223"/>
      <c r="M204" s="223"/>
      <c r="N204" s="223"/>
      <c r="O204" s="223"/>
      <c r="P204" s="223"/>
      <c r="Q204" s="223"/>
      <c r="R204" s="223"/>
      <c r="S204" s="223"/>
      <c r="T204" s="223"/>
      <c r="U204" s="223"/>
      <c r="V204" s="223"/>
    </row>
    <row r="205" spans="1:22" x14ac:dyDescent="0.2">
      <c r="A205" s="223"/>
      <c r="B205" s="223"/>
      <c r="C205" s="223"/>
      <c r="D205" s="223"/>
      <c r="E205" s="223"/>
      <c r="F205" s="223"/>
      <c r="G205" s="223"/>
      <c r="H205" s="223"/>
      <c r="I205" s="223"/>
      <c r="J205" s="223"/>
      <c r="K205" s="223"/>
      <c r="L205" s="223"/>
      <c r="M205" s="223"/>
      <c r="N205" s="223"/>
      <c r="O205" s="223"/>
      <c r="P205" s="223"/>
      <c r="Q205" s="223"/>
      <c r="R205" s="223"/>
      <c r="S205" s="223"/>
      <c r="T205" s="223"/>
      <c r="U205" s="223"/>
      <c r="V205" s="223"/>
    </row>
    <row r="206" spans="1:22" x14ac:dyDescent="0.2">
      <c r="A206" s="223"/>
      <c r="B206" s="223"/>
      <c r="C206" s="223"/>
      <c r="D206" s="223"/>
      <c r="E206" s="223"/>
      <c r="F206" s="223"/>
      <c r="G206" s="223"/>
      <c r="H206" s="223"/>
      <c r="I206" s="223"/>
      <c r="J206" s="223"/>
      <c r="K206" s="223"/>
      <c r="L206" s="223"/>
      <c r="M206" s="223"/>
      <c r="N206" s="223"/>
      <c r="O206" s="223"/>
      <c r="P206" s="223"/>
      <c r="Q206" s="223"/>
      <c r="R206" s="223"/>
      <c r="S206" s="223"/>
      <c r="T206" s="223"/>
      <c r="U206" s="223"/>
      <c r="V206" s="223"/>
    </row>
    <row r="207" spans="1:22" x14ac:dyDescent="0.2">
      <c r="A207" s="223"/>
      <c r="B207" s="223"/>
      <c r="C207" s="223"/>
      <c r="D207" s="223"/>
      <c r="E207" s="223"/>
      <c r="F207" s="223"/>
      <c r="G207" s="223"/>
      <c r="H207" s="223"/>
      <c r="I207" s="223"/>
      <c r="J207" s="223"/>
      <c r="K207" s="223"/>
      <c r="L207" s="223"/>
      <c r="M207" s="223"/>
      <c r="N207" s="223"/>
      <c r="O207" s="223"/>
      <c r="P207" s="223"/>
      <c r="Q207" s="223"/>
      <c r="R207" s="223"/>
      <c r="S207" s="223"/>
      <c r="T207" s="223"/>
      <c r="U207" s="223"/>
      <c r="V207" s="223"/>
    </row>
    <row r="208" spans="1:22" x14ac:dyDescent="0.2">
      <c r="A208" s="223"/>
      <c r="B208" s="223"/>
      <c r="C208" s="223"/>
      <c r="D208" s="223"/>
      <c r="E208" s="223"/>
      <c r="F208" s="223"/>
      <c r="G208" s="223"/>
      <c r="H208" s="223"/>
      <c r="I208" s="223"/>
      <c r="J208" s="223"/>
      <c r="K208" s="223"/>
      <c r="L208" s="223"/>
      <c r="M208" s="223"/>
      <c r="N208" s="223"/>
      <c r="O208" s="223"/>
      <c r="P208" s="223"/>
      <c r="Q208" s="223"/>
      <c r="R208" s="223"/>
      <c r="S208" s="223"/>
      <c r="T208" s="223"/>
      <c r="U208" s="223"/>
      <c r="V208" s="223"/>
    </row>
    <row r="209" spans="1:22" x14ac:dyDescent="0.2">
      <c r="A209" s="223"/>
      <c r="B209" s="223"/>
      <c r="C209" s="223"/>
      <c r="D209" s="223"/>
      <c r="E209" s="223"/>
      <c r="F209" s="223"/>
      <c r="G209" s="223"/>
      <c r="H209" s="223"/>
      <c r="I209" s="223"/>
      <c r="J209" s="223"/>
      <c r="K209" s="223"/>
      <c r="L209" s="223"/>
      <c r="M209" s="223"/>
      <c r="N209" s="223"/>
      <c r="O209" s="223"/>
      <c r="P209" s="223"/>
      <c r="Q209" s="223"/>
      <c r="R209" s="223"/>
      <c r="S209" s="223"/>
      <c r="T209" s="223"/>
      <c r="U209" s="223"/>
      <c r="V209" s="223"/>
    </row>
    <row r="210" spans="1:22" x14ac:dyDescent="0.2">
      <c r="A210" s="223"/>
      <c r="B210" s="223"/>
      <c r="C210" s="223"/>
      <c r="D210" s="223"/>
      <c r="E210" s="223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3"/>
      <c r="S210" s="223"/>
      <c r="T210" s="223"/>
      <c r="U210" s="223"/>
      <c r="V210" s="223"/>
    </row>
    <row r="211" spans="1:22" x14ac:dyDescent="0.2">
      <c r="A211" s="223"/>
      <c r="B211" s="223"/>
      <c r="C211" s="223"/>
      <c r="D211" s="223"/>
      <c r="E211" s="223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3"/>
      <c r="S211" s="223"/>
      <c r="T211" s="223"/>
      <c r="U211" s="223"/>
      <c r="V211" s="223"/>
    </row>
    <row r="212" spans="1:22" x14ac:dyDescent="0.2">
      <c r="A212" s="223"/>
      <c r="B212" s="223"/>
      <c r="C212" s="223"/>
      <c r="D212" s="223"/>
      <c r="E212" s="223"/>
      <c r="F212" s="223"/>
      <c r="G212" s="223"/>
      <c r="H212" s="223"/>
      <c r="I212" s="223"/>
      <c r="J212" s="223"/>
      <c r="K212" s="223"/>
      <c r="L212" s="223"/>
      <c r="M212" s="223"/>
      <c r="N212" s="223"/>
      <c r="O212" s="223"/>
      <c r="P212" s="223"/>
      <c r="Q212" s="223"/>
      <c r="R212" s="223"/>
      <c r="S212" s="223"/>
      <c r="T212" s="223"/>
      <c r="U212" s="223"/>
      <c r="V212" s="223"/>
    </row>
    <row r="213" spans="1:22" x14ac:dyDescent="0.2">
      <c r="A213" s="223"/>
      <c r="B213" s="223"/>
      <c r="C213" s="223"/>
      <c r="D213" s="223"/>
      <c r="E213" s="223"/>
      <c r="F213" s="223"/>
      <c r="G213" s="223"/>
      <c r="H213" s="223"/>
      <c r="I213" s="223"/>
      <c r="J213" s="223"/>
      <c r="K213" s="223"/>
      <c r="L213" s="223"/>
      <c r="M213" s="223"/>
      <c r="N213" s="223"/>
      <c r="O213" s="223"/>
      <c r="P213" s="223"/>
      <c r="Q213" s="223"/>
      <c r="R213" s="223"/>
      <c r="S213" s="223"/>
      <c r="T213" s="223"/>
      <c r="U213" s="223"/>
      <c r="V213" s="223"/>
    </row>
    <row r="214" spans="1:22" x14ac:dyDescent="0.2">
      <c r="A214" s="223"/>
      <c r="B214" s="223"/>
      <c r="C214" s="223"/>
      <c r="D214" s="223"/>
      <c r="E214" s="223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3"/>
      <c r="Q214" s="223"/>
      <c r="R214" s="223"/>
      <c r="S214" s="223"/>
      <c r="T214" s="223"/>
      <c r="U214" s="223"/>
      <c r="V214" s="223"/>
    </row>
    <row r="215" spans="1:22" x14ac:dyDescent="0.2">
      <c r="A215" s="223"/>
      <c r="B215" s="223"/>
      <c r="C215" s="223"/>
      <c r="D215" s="223"/>
      <c r="E215" s="223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3"/>
      <c r="V215" s="223"/>
    </row>
    <row r="216" spans="1:22" x14ac:dyDescent="0.2">
      <c r="A216" s="223"/>
      <c r="B216" s="223"/>
      <c r="C216" s="223"/>
      <c r="D216" s="223"/>
      <c r="E216" s="223"/>
      <c r="F216" s="223"/>
      <c r="G216" s="223"/>
      <c r="H216" s="223"/>
      <c r="I216" s="223"/>
      <c r="J216" s="223"/>
      <c r="K216" s="223"/>
      <c r="L216" s="223"/>
      <c r="M216" s="223"/>
      <c r="N216" s="223"/>
      <c r="O216" s="223"/>
      <c r="P216" s="223"/>
      <c r="Q216" s="223"/>
      <c r="R216" s="223"/>
      <c r="S216" s="223"/>
      <c r="T216" s="223"/>
      <c r="U216" s="223"/>
      <c r="V216" s="223"/>
    </row>
    <row r="217" spans="1:22" x14ac:dyDescent="0.2">
      <c r="A217" s="223"/>
      <c r="B217" s="223"/>
      <c r="C217" s="223"/>
      <c r="D217" s="223"/>
      <c r="E217" s="223"/>
      <c r="F217" s="223"/>
      <c r="G217" s="223"/>
      <c r="H217" s="223"/>
      <c r="I217" s="223"/>
      <c r="J217" s="223"/>
      <c r="K217" s="223"/>
      <c r="L217" s="223"/>
      <c r="M217" s="223"/>
      <c r="N217" s="223"/>
      <c r="O217" s="223"/>
      <c r="P217" s="223"/>
      <c r="Q217" s="223"/>
      <c r="R217" s="223"/>
      <c r="S217" s="223"/>
      <c r="T217" s="223"/>
      <c r="U217" s="223"/>
      <c r="V217" s="223"/>
    </row>
    <row r="218" spans="1:22" x14ac:dyDescent="0.2">
      <c r="A218" s="223"/>
      <c r="B218" s="223"/>
      <c r="C218" s="223"/>
      <c r="D218" s="223"/>
      <c r="E218" s="223"/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3"/>
      <c r="Q218" s="223"/>
      <c r="R218" s="223"/>
      <c r="S218" s="223"/>
      <c r="T218" s="223"/>
      <c r="U218" s="223"/>
      <c r="V218" s="223"/>
    </row>
    <row r="219" spans="1:22" x14ac:dyDescent="0.2">
      <c r="A219" s="223"/>
      <c r="B219" s="223"/>
      <c r="C219" s="223"/>
      <c r="D219" s="223"/>
      <c r="E219" s="223"/>
      <c r="F219" s="223"/>
      <c r="G219" s="223"/>
      <c r="H219" s="223"/>
      <c r="I219" s="223"/>
      <c r="J219" s="223"/>
      <c r="K219" s="223"/>
      <c r="L219" s="223"/>
      <c r="M219" s="223"/>
      <c r="N219" s="223"/>
      <c r="O219" s="223"/>
      <c r="P219" s="223"/>
      <c r="Q219" s="223"/>
      <c r="R219" s="223"/>
      <c r="S219" s="223"/>
      <c r="T219" s="223"/>
      <c r="U219" s="223"/>
      <c r="V219" s="223"/>
    </row>
    <row r="220" spans="1:22" x14ac:dyDescent="0.2">
      <c r="A220" s="223"/>
      <c r="B220" s="223"/>
      <c r="C220" s="223"/>
      <c r="D220" s="223"/>
      <c r="E220" s="223"/>
      <c r="F220" s="223"/>
      <c r="G220" s="223"/>
      <c r="H220" s="223"/>
      <c r="I220" s="223"/>
      <c r="J220" s="223"/>
      <c r="K220" s="223"/>
      <c r="L220" s="223"/>
      <c r="M220" s="223"/>
      <c r="N220" s="223"/>
      <c r="O220" s="223"/>
      <c r="P220" s="223"/>
      <c r="Q220" s="223"/>
      <c r="R220" s="223"/>
      <c r="S220" s="223"/>
      <c r="T220" s="223"/>
      <c r="U220" s="223"/>
      <c r="V220" s="223"/>
    </row>
    <row r="221" spans="1:22" x14ac:dyDescent="0.2">
      <c r="A221" s="223"/>
      <c r="B221" s="223"/>
      <c r="C221" s="223"/>
      <c r="D221" s="223"/>
      <c r="E221" s="223"/>
      <c r="F221" s="223"/>
      <c r="G221" s="223"/>
      <c r="H221" s="223"/>
      <c r="I221" s="223"/>
      <c r="J221" s="223"/>
      <c r="K221" s="223"/>
      <c r="L221" s="223"/>
      <c r="M221" s="223"/>
      <c r="N221" s="223"/>
      <c r="O221" s="223"/>
      <c r="P221" s="223"/>
      <c r="Q221" s="223"/>
      <c r="R221" s="223"/>
      <c r="S221" s="223"/>
      <c r="T221" s="223"/>
      <c r="U221" s="223"/>
      <c r="V221" s="223"/>
    </row>
    <row r="222" spans="1:22" x14ac:dyDescent="0.2">
      <c r="A222" s="223"/>
      <c r="B222" s="223"/>
      <c r="C222" s="223"/>
      <c r="D222" s="223"/>
      <c r="E222" s="223"/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3"/>
      <c r="R222" s="223"/>
      <c r="S222" s="223"/>
      <c r="T222" s="223"/>
      <c r="U222" s="223"/>
      <c r="V222" s="223"/>
    </row>
    <row r="223" spans="1:22" x14ac:dyDescent="0.2">
      <c r="A223" s="223"/>
      <c r="B223" s="223"/>
      <c r="C223" s="223"/>
      <c r="D223" s="223"/>
      <c r="E223" s="223"/>
      <c r="F223" s="223"/>
      <c r="G223" s="223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  <c r="S223" s="223"/>
      <c r="T223" s="223"/>
      <c r="U223" s="223"/>
      <c r="V223" s="223"/>
    </row>
    <row r="224" spans="1:22" x14ac:dyDescent="0.2">
      <c r="A224" s="223"/>
      <c r="B224" s="223"/>
      <c r="C224" s="223"/>
      <c r="D224" s="223"/>
      <c r="E224" s="223"/>
      <c r="F224" s="223"/>
      <c r="G224" s="223"/>
      <c r="H224" s="223"/>
      <c r="I224" s="223"/>
      <c r="J224" s="223"/>
      <c r="K224" s="223"/>
      <c r="L224" s="223"/>
      <c r="M224" s="223"/>
      <c r="N224" s="223"/>
      <c r="O224" s="223"/>
      <c r="P224" s="223"/>
      <c r="Q224" s="223"/>
      <c r="R224" s="223"/>
      <c r="S224" s="223"/>
      <c r="T224" s="223"/>
      <c r="U224" s="223"/>
      <c r="V224" s="223"/>
    </row>
    <row r="225" spans="1:22" x14ac:dyDescent="0.2">
      <c r="A225" s="223"/>
      <c r="B225" s="223"/>
      <c r="C225" s="223"/>
      <c r="D225" s="223"/>
      <c r="E225" s="223"/>
      <c r="F225" s="223"/>
      <c r="G225" s="223"/>
      <c r="H225" s="223"/>
      <c r="I225" s="223"/>
      <c r="J225" s="223"/>
      <c r="K225" s="223"/>
      <c r="L225" s="223"/>
      <c r="M225" s="223"/>
      <c r="N225" s="223"/>
      <c r="O225" s="223"/>
      <c r="P225" s="223"/>
      <c r="Q225" s="223"/>
      <c r="R225" s="223"/>
      <c r="S225" s="223"/>
      <c r="T225" s="223"/>
      <c r="U225" s="223"/>
      <c r="V225" s="223"/>
    </row>
    <row r="226" spans="1:22" x14ac:dyDescent="0.2">
      <c r="A226" s="223"/>
      <c r="B226" s="223"/>
      <c r="C226" s="223"/>
      <c r="D226" s="223"/>
      <c r="E226" s="223"/>
      <c r="F226" s="223"/>
      <c r="G226" s="223"/>
      <c r="H226" s="223"/>
      <c r="I226" s="223"/>
      <c r="J226" s="223"/>
      <c r="K226" s="223"/>
      <c r="L226" s="223"/>
      <c r="M226" s="223"/>
      <c r="N226" s="223"/>
      <c r="O226" s="223"/>
      <c r="P226" s="223"/>
      <c r="Q226" s="223"/>
      <c r="R226" s="223"/>
      <c r="S226" s="223"/>
      <c r="T226" s="223"/>
      <c r="U226" s="223"/>
      <c r="V226" s="223"/>
    </row>
    <row r="227" spans="1:22" x14ac:dyDescent="0.2">
      <c r="A227" s="223"/>
      <c r="B227" s="223"/>
      <c r="C227" s="223"/>
      <c r="D227" s="223"/>
      <c r="E227" s="223"/>
      <c r="F227" s="223"/>
      <c r="G227" s="223"/>
      <c r="H227" s="223"/>
      <c r="I227" s="223"/>
      <c r="J227" s="223"/>
      <c r="K227" s="223"/>
      <c r="L227" s="223"/>
      <c r="M227" s="223"/>
      <c r="N227" s="223"/>
      <c r="O227" s="223"/>
      <c r="P227" s="223"/>
      <c r="Q227" s="223"/>
      <c r="R227" s="223"/>
      <c r="S227" s="223"/>
      <c r="T227" s="223"/>
      <c r="U227" s="223"/>
      <c r="V227" s="223"/>
    </row>
    <row r="228" spans="1:22" x14ac:dyDescent="0.2">
      <c r="A228" s="223"/>
      <c r="B228" s="223"/>
      <c r="C228" s="223"/>
      <c r="D228" s="223"/>
      <c r="E228" s="223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3"/>
      <c r="U228" s="223"/>
      <c r="V228" s="223"/>
    </row>
    <row r="229" spans="1:22" x14ac:dyDescent="0.2">
      <c r="A229" s="223"/>
      <c r="B229" s="223"/>
      <c r="C229" s="223"/>
      <c r="D229" s="223"/>
      <c r="E229" s="223"/>
      <c r="F229" s="223"/>
      <c r="G229" s="223"/>
      <c r="H229" s="223"/>
      <c r="I229" s="223"/>
      <c r="J229" s="223"/>
      <c r="K229" s="223"/>
      <c r="L229" s="223"/>
      <c r="M229" s="223"/>
      <c r="N229" s="223"/>
      <c r="O229" s="223"/>
      <c r="P229" s="223"/>
      <c r="Q229" s="223"/>
      <c r="R229" s="223"/>
      <c r="S229" s="223"/>
      <c r="T229" s="223"/>
      <c r="U229" s="223"/>
      <c r="V229" s="223"/>
    </row>
    <row r="230" spans="1:22" x14ac:dyDescent="0.2">
      <c r="A230" s="223"/>
      <c r="B230" s="223"/>
      <c r="C230" s="223"/>
      <c r="D230" s="223"/>
      <c r="E230" s="223"/>
      <c r="F230" s="223"/>
      <c r="G230" s="223"/>
      <c r="H230" s="223"/>
      <c r="I230" s="223"/>
      <c r="J230" s="223"/>
      <c r="K230" s="223"/>
      <c r="L230" s="223"/>
      <c r="M230" s="223"/>
      <c r="N230" s="223"/>
      <c r="O230" s="223"/>
      <c r="P230" s="223"/>
      <c r="Q230" s="223"/>
      <c r="R230" s="223"/>
      <c r="S230" s="223"/>
      <c r="T230" s="223"/>
      <c r="U230" s="223"/>
      <c r="V230" s="223"/>
    </row>
    <row r="231" spans="1:22" x14ac:dyDescent="0.2">
      <c r="A231" s="223"/>
      <c r="B231" s="223"/>
      <c r="C231" s="223"/>
      <c r="D231" s="223"/>
      <c r="E231" s="223"/>
      <c r="F231" s="223"/>
      <c r="G231" s="223"/>
      <c r="H231" s="223"/>
      <c r="I231" s="223"/>
      <c r="J231" s="223"/>
      <c r="K231" s="223"/>
      <c r="L231" s="223"/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</row>
    <row r="232" spans="1:22" x14ac:dyDescent="0.2">
      <c r="A232" s="223"/>
      <c r="B232" s="223"/>
      <c r="C232" s="223"/>
      <c r="D232" s="223"/>
      <c r="E232" s="223"/>
      <c r="F232" s="223"/>
      <c r="G232" s="223"/>
      <c r="H232" s="223"/>
      <c r="I232" s="223"/>
      <c r="J232" s="223"/>
      <c r="K232" s="223"/>
      <c r="L232" s="223"/>
      <c r="M232" s="223"/>
      <c r="N232" s="223"/>
      <c r="O232" s="223"/>
      <c r="P232" s="223"/>
      <c r="Q232" s="223"/>
      <c r="R232" s="223"/>
      <c r="S232" s="223"/>
      <c r="T232" s="223"/>
      <c r="U232" s="223"/>
      <c r="V232" s="223"/>
    </row>
    <row r="233" spans="1:22" x14ac:dyDescent="0.2">
      <c r="A233" s="223"/>
      <c r="B233" s="223"/>
      <c r="C233" s="223"/>
      <c r="D233" s="223"/>
      <c r="E233" s="223"/>
      <c r="F233" s="223"/>
      <c r="G233" s="223"/>
      <c r="H233" s="223"/>
      <c r="I233" s="223"/>
      <c r="J233" s="223"/>
      <c r="K233" s="223"/>
      <c r="L233" s="223"/>
      <c r="M233" s="223"/>
      <c r="N233" s="223"/>
      <c r="O233" s="223"/>
      <c r="P233" s="223"/>
      <c r="Q233" s="223"/>
      <c r="R233" s="223"/>
      <c r="S233" s="223"/>
      <c r="T233" s="223"/>
      <c r="U233" s="223"/>
      <c r="V233" s="223"/>
    </row>
    <row r="234" spans="1:22" x14ac:dyDescent="0.2">
      <c r="A234" s="223"/>
      <c r="B234" s="223"/>
      <c r="C234" s="223"/>
      <c r="D234" s="223"/>
      <c r="E234" s="223"/>
      <c r="F234" s="223"/>
      <c r="G234" s="223"/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</row>
    <row r="235" spans="1:22" x14ac:dyDescent="0.2">
      <c r="A235" s="223"/>
      <c r="B235" s="223"/>
      <c r="C235" s="223"/>
      <c r="D235" s="223"/>
      <c r="E235" s="223"/>
      <c r="F235" s="223"/>
      <c r="G235" s="223"/>
      <c r="H235" s="223"/>
      <c r="I235" s="223"/>
      <c r="J235" s="223"/>
      <c r="K235" s="223"/>
      <c r="L235" s="223"/>
      <c r="M235" s="223"/>
      <c r="N235" s="223"/>
      <c r="O235" s="223"/>
      <c r="P235" s="223"/>
      <c r="Q235" s="223"/>
      <c r="R235" s="223"/>
      <c r="S235" s="223"/>
      <c r="T235" s="223"/>
      <c r="U235" s="223"/>
      <c r="V235" s="223"/>
    </row>
    <row r="236" spans="1:22" x14ac:dyDescent="0.2">
      <c r="A236" s="223"/>
      <c r="B236" s="223"/>
      <c r="C236" s="223"/>
      <c r="D236" s="223"/>
      <c r="E236" s="223"/>
      <c r="F236" s="223"/>
      <c r="G236" s="223"/>
      <c r="H236" s="223"/>
      <c r="I236" s="223"/>
      <c r="J236" s="223"/>
      <c r="K236" s="223"/>
      <c r="L236" s="223"/>
      <c r="M236" s="223"/>
      <c r="N236" s="223"/>
      <c r="O236" s="223"/>
      <c r="P236" s="223"/>
      <c r="Q236" s="223"/>
      <c r="R236" s="223"/>
      <c r="S236" s="223"/>
      <c r="T236" s="223"/>
      <c r="U236" s="223"/>
      <c r="V236" s="223"/>
    </row>
    <row r="237" spans="1:22" x14ac:dyDescent="0.2">
      <c r="A237" s="223"/>
      <c r="B237" s="223"/>
      <c r="C237" s="223"/>
      <c r="D237" s="223"/>
      <c r="E237" s="223"/>
      <c r="F237" s="223"/>
      <c r="G237" s="223"/>
      <c r="H237" s="223"/>
      <c r="I237" s="223"/>
      <c r="J237" s="223"/>
      <c r="K237" s="223"/>
      <c r="L237" s="223"/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</row>
    <row r="238" spans="1:22" x14ac:dyDescent="0.2">
      <c r="A238" s="223"/>
      <c r="B238" s="223"/>
      <c r="C238" s="223"/>
      <c r="D238" s="223"/>
      <c r="E238" s="223"/>
      <c r="F238" s="223"/>
      <c r="G238" s="223"/>
      <c r="H238" s="223"/>
      <c r="I238" s="223"/>
      <c r="J238" s="223"/>
      <c r="K238" s="223"/>
      <c r="L238" s="223"/>
      <c r="M238" s="223"/>
      <c r="N238" s="223"/>
      <c r="O238" s="223"/>
      <c r="P238" s="223"/>
      <c r="Q238" s="223"/>
      <c r="R238" s="223"/>
      <c r="S238" s="223"/>
      <c r="T238" s="223"/>
      <c r="U238" s="223"/>
      <c r="V238" s="223"/>
    </row>
    <row r="239" spans="1:22" x14ac:dyDescent="0.2">
      <c r="A239" s="223"/>
      <c r="B239" s="223"/>
      <c r="C239" s="223"/>
      <c r="D239" s="223"/>
      <c r="E239" s="223"/>
      <c r="F239" s="223"/>
      <c r="G239" s="223"/>
      <c r="H239" s="223"/>
      <c r="I239" s="223"/>
      <c r="J239" s="223"/>
      <c r="K239" s="223"/>
      <c r="L239" s="223"/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</row>
    <row r="240" spans="1:22" x14ac:dyDescent="0.2">
      <c r="A240" s="223"/>
      <c r="B240" s="223"/>
      <c r="C240" s="223"/>
      <c r="D240" s="223"/>
      <c r="E240" s="223"/>
      <c r="F240" s="223"/>
      <c r="G240" s="223"/>
      <c r="H240" s="223"/>
      <c r="I240" s="223"/>
      <c r="J240" s="223"/>
      <c r="K240" s="223"/>
      <c r="L240" s="223"/>
      <c r="M240" s="223"/>
      <c r="N240" s="223"/>
      <c r="O240" s="223"/>
      <c r="P240" s="223"/>
      <c r="Q240" s="223"/>
      <c r="R240" s="223"/>
      <c r="S240" s="223"/>
      <c r="T240" s="223"/>
      <c r="U240" s="223"/>
      <c r="V240" s="223"/>
    </row>
    <row r="241" spans="1:22" x14ac:dyDescent="0.2">
      <c r="A241" s="223"/>
      <c r="B241" s="223"/>
      <c r="C241" s="223"/>
      <c r="D241" s="223"/>
      <c r="E241" s="223"/>
      <c r="F241" s="223"/>
      <c r="G241" s="223"/>
      <c r="H241" s="223"/>
      <c r="I241" s="223"/>
      <c r="J241" s="223"/>
      <c r="K241" s="223"/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</row>
    <row r="242" spans="1:22" x14ac:dyDescent="0.2">
      <c r="A242" s="223"/>
      <c r="B242" s="223"/>
      <c r="C242" s="223"/>
      <c r="D242" s="223"/>
      <c r="E242" s="223"/>
      <c r="F242" s="223"/>
      <c r="G242" s="223"/>
      <c r="H242" s="223"/>
      <c r="I242" s="223"/>
      <c r="J242" s="223"/>
      <c r="K242" s="223"/>
      <c r="L242" s="223"/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</row>
    <row r="243" spans="1:22" x14ac:dyDescent="0.2">
      <c r="A243" s="223"/>
      <c r="B243" s="223"/>
      <c r="C243" s="223"/>
      <c r="D243" s="223"/>
      <c r="E243" s="223"/>
      <c r="F243" s="223"/>
      <c r="G243" s="223"/>
      <c r="H243" s="223"/>
      <c r="I243" s="223"/>
      <c r="J243" s="223"/>
      <c r="K243" s="223"/>
      <c r="L243" s="223"/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</row>
    <row r="244" spans="1:22" x14ac:dyDescent="0.2">
      <c r="A244" s="223"/>
      <c r="B244" s="223"/>
      <c r="C244" s="223"/>
      <c r="D244" s="223"/>
      <c r="E244" s="223"/>
      <c r="F244" s="223"/>
      <c r="G244" s="223"/>
      <c r="H244" s="223"/>
      <c r="I244" s="223"/>
      <c r="J244" s="223"/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</row>
    <row r="245" spans="1:22" x14ac:dyDescent="0.2">
      <c r="A245" s="223"/>
      <c r="B245" s="223"/>
      <c r="C245" s="223"/>
      <c r="D245" s="223"/>
      <c r="E245" s="223"/>
      <c r="F245" s="223"/>
      <c r="G245" s="223"/>
      <c r="H245" s="223"/>
      <c r="I245" s="223"/>
      <c r="J245" s="223"/>
      <c r="K245" s="223"/>
      <c r="L245" s="223"/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</row>
    <row r="246" spans="1:22" x14ac:dyDescent="0.2">
      <c r="A246" s="223"/>
      <c r="B246" s="223"/>
      <c r="C246" s="223"/>
      <c r="D246" s="223"/>
      <c r="E246" s="223"/>
      <c r="F246" s="223"/>
      <c r="G246" s="223"/>
      <c r="H246" s="223"/>
      <c r="I246" s="223"/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</row>
    <row r="247" spans="1:22" x14ac:dyDescent="0.2">
      <c r="A247" s="223"/>
      <c r="B247" s="223"/>
      <c r="C247" s="223"/>
      <c r="D247" s="223"/>
      <c r="E247" s="223"/>
      <c r="F247" s="223"/>
      <c r="G247" s="223"/>
      <c r="H247" s="223"/>
      <c r="I247" s="223"/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</row>
    <row r="248" spans="1:22" x14ac:dyDescent="0.2">
      <c r="A248" s="223"/>
      <c r="B248" s="223"/>
      <c r="C248" s="223"/>
      <c r="D248" s="223"/>
      <c r="E248" s="223"/>
      <c r="F248" s="223"/>
      <c r="G248" s="223"/>
      <c r="H248" s="223"/>
      <c r="I248" s="223"/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</row>
    <row r="249" spans="1:22" x14ac:dyDescent="0.2">
      <c r="A249" s="223"/>
      <c r="B249" s="223"/>
      <c r="C249" s="223"/>
      <c r="D249" s="223"/>
      <c r="E249" s="223"/>
      <c r="F249" s="223"/>
      <c r="G249" s="223"/>
      <c r="H249" s="223"/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</row>
    <row r="250" spans="1:22" x14ac:dyDescent="0.2">
      <c r="A250" s="223"/>
      <c r="B250" s="223"/>
      <c r="C250" s="223"/>
      <c r="D250" s="223"/>
      <c r="E250" s="223"/>
      <c r="F250" s="223"/>
      <c r="G250" s="223"/>
      <c r="H250" s="223"/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</row>
    <row r="251" spans="1:22" x14ac:dyDescent="0.2">
      <c r="A251" s="223"/>
      <c r="B251" s="223"/>
      <c r="C251" s="223"/>
      <c r="D251" s="223"/>
      <c r="E251" s="223"/>
      <c r="F251" s="223"/>
      <c r="G251" s="223"/>
      <c r="H251" s="223"/>
      <c r="I251" s="223"/>
      <c r="J251" s="223"/>
      <c r="K251" s="223"/>
      <c r="L251" s="223"/>
      <c r="M251" s="223"/>
      <c r="N251" s="223"/>
      <c r="O251" s="223"/>
      <c r="P251" s="223"/>
      <c r="Q251" s="223"/>
      <c r="R251" s="223"/>
      <c r="S251" s="223"/>
      <c r="T251" s="223"/>
      <c r="U251" s="223"/>
      <c r="V251" s="223"/>
    </row>
    <row r="252" spans="1:22" x14ac:dyDescent="0.2">
      <c r="A252" s="223"/>
      <c r="B252" s="223"/>
      <c r="C252" s="223"/>
      <c r="D252" s="223"/>
      <c r="E252" s="223"/>
      <c r="F252" s="223"/>
      <c r="G252" s="223"/>
      <c r="H252" s="223"/>
      <c r="I252" s="223"/>
      <c r="J252" s="223"/>
      <c r="K252" s="223"/>
      <c r="L252" s="223"/>
      <c r="M252" s="223"/>
      <c r="N252" s="223"/>
      <c r="O252" s="223"/>
      <c r="P252" s="223"/>
      <c r="Q252" s="223"/>
      <c r="R252" s="223"/>
      <c r="S252" s="223"/>
      <c r="T252" s="223"/>
      <c r="U252" s="223"/>
      <c r="V252" s="223"/>
    </row>
    <row r="253" spans="1:22" x14ac:dyDescent="0.2">
      <c r="A253" s="223"/>
      <c r="B253" s="223"/>
      <c r="C253" s="223"/>
      <c r="D253" s="223"/>
      <c r="E253" s="223"/>
      <c r="F253" s="223"/>
      <c r="G253" s="223"/>
      <c r="H253" s="223"/>
      <c r="I253" s="223"/>
      <c r="J253" s="223"/>
      <c r="K253" s="223"/>
      <c r="L253" s="223"/>
      <c r="M253" s="223"/>
      <c r="N253" s="223"/>
      <c r="O253" s="223"/>
      <c r="P253" s="223"/>
      <c r="Q253" s="223"/>
      <c r="R253" s="223"/>
      <c r="S253" s="223"/>
      <c r="T253" s="223"/>
      <c r="U253" s="223"/>
      <c r="V253" s="223"/>
    </row>
    <row r="254" spans="1:22" x14ac:dyDescent="0.2">
      <c r="A254" s="223"/>
      <c r="B254" s="223"/>
      <c r="C254" s="223"/>
      <c r="D254" s="223"/>
      <c r="E254" s="223"/>
      <c r="F254" s="223"/>
      <c r="G254" s="223"/>
      <c r="H254" s="223"/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</row>
    <row r="255" spans="1:22" x14ac:dyDescent="0.2">
      <c r="A255" s="223"/>
      <c r="B255" s="223"/>
      <c r="C255" s="223"/>
      <c r="D255" s="223"/>
      <c r="E255" s="223"/>
      <c r="F255" s="223"/>
      <c r="G255" s="223"/>
      <c r="H255" s="223"/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</row>
    <row r="256" spans="1:22" x14ac:dyDescent="0.2">
      <c r="A256" s="223"/>
      <c r="B256" s="223"/>
      <c r="C256" s="223"/>
      <c r="D256" s="223"/>
      <c r="E256" s="223"/>
      <c r="F256" s="223"/>
      <c r="G256" s="223"/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3"/>
      <c r="S256" s="223"/>
      <c r="T256" s="223"/>
      <c r="U256" s="223"/>
      <c r="V256" s="223"/>
    </row>
    <row r="257" spans="1:22" x14ac:dyDescent="0.2">
      <c r="A257" s="223"/>
      <c r="B257" s="223"/>
      <c r="C257" s="223"/>
      <c r="D257" s="223"/>
      <c r="E257" s="223"/>
      <c r="F257" s="223"/>
      <c r="G257" s="223"/>
      <c r="H257" s="223"/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</row>
    <row r="258" spans="1:22" x14ac:dyDescent="0.2">
      <c r="A258" s="223"/>
      <c r="B258" s="223"/>
      <c r="C258" s="223"/>
      <c r="D258" s="223"/>
      <c r="E258" s="223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</row>
    <row r="259" spans="1:22" x14ac:dyDescent="0.2">
      <c r="A259" s="223"/>
      <c r="B259" s="223"/>
      <c r="C259" s="223"/>
      <c r="D259" s="223"/>
      <c r="E259" s="223"/>
      <c r="F259" s="223"/>
      <c r="G259" s="223"/>
      <c r="H259" s="223"/>
      <c r="I259" s="223"/>
      <c r="J259" s="223"/>
      <c r="K259" s="223"/>
      <c r="L259" s="223"/>
      <c r="M259" s="223"/>
      <c r="N259" s="223"/>
      <c r="O259" s="223"/>
      <c r="P259" s="223"/>
      <c r="Q259" s="223"/>
      <c r="R259" s="223"/>
      <c r="S259" s="223"/>
      <c r="T259" s="223"/>
      <c r="U259" s="223"/>
      <c r="V259" s="223"/>
    </row>
    <row r="260" spans="1:22" x14ac:dyDescent="0.2">
      <c r="A260" s="223"/>
      <c r="B260" s="223"/>
      <c r="C260" s="223"/>
      <c r="D260" s="223"/>
      <c r="E260" s="223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3"/>
      <c r="S260" s="223"/>
      <c r="T260" s="223"/>
      <c r="U260" s="223"/>
      <c r="V260" s="223"/>
    </row>
    <row r="261" spans="1:22" x14ac:dyDescent="0.2">
      <c r="A261" s="223"/>
      <c r="B261" s="223"/>
      <c r="C261" s="223"/>
      <c r="D261" s="223"/>
      <c r="E261" s="223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3"/>
      <c r="S261" s="223"/>
      <c r="T261" s="223"/>
      <c r="U261" s="223"/>
      <c r="V261" s="223"/>
    </row>
    <row r="262" spans="1:22" x14ac:dyDescent="0.2">
      <c r="A262" s="223"/>
      <c r="B262" s="223"/>
      <c r="C262" s="223"/>
      <c r="D262" s="223"/>
      <c r="E262" s="223"/>
      <c r="F262" s="223"/>
      <c r="G262" s="223"/>
      <c r="H262" s="223"/>
      <c r="I262" s="223"/>
      <c r="J262" s="223"/>
      <c r="K262" s="223"/>
      <c r="L262" s="223"/>
      <c r="M262" s="223"/>
      <c r="N262" s="223"/>
      <c r="O262" s="223"/>
      <c r="P262" s="223"/>
      <c r="Q262" s="223"/>
      <c r="R262" s="223"/>
      <c r="S262" s="223"/>
      <c r="T262" s="223"/>
      <c r="U262" s="223"/>
      <c r="V262" s="223"/>
    </row>
    <row r="263" spans="1:22" x14ac:dyDescent="0.2">
      <c r="A263" s="223"/>
      <c r="B263" s="223"/>
      <c r="C263" s="223"/>
      <c r="D263" s="223"/>
      <c r="E263" s="223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</row>
    <row r="264" spans="1:22" x14ac:dyDescent="0.2">
      <c r="A264" s="223"/>
      <c r="B264" s="223"/>
      <c r="C264" s="223"/>
      <c r="D264" s="223"/>
      <c r="E264" s="223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</row>
    <row r="265" spans="1:22" x14ac:dyDescent="0.2">
      <c r="A265" s="223"/>
      <c r="B265" s="223"/>
      <c r="C265" s="223"/>
      <c r="D265" s="223"/>
      <c r="E265" s="223"/>
      <c r="F265" s="223"/>
      <c r="G265" s="223"/>
      <c r="H265" s="223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</row>
    <row r="266" spans="1:22" x14ac:dyDescent="0.2">
      <c r="A266" s="223"/>
      <c r="B266" s="223"/>
      <c r="C266" s="223"/>
      <c r="D266" s="223"/>
      <c r="E266" s="223"/>
      <c r="F266" s="223"/>
      <c r="G266" s="223"/>
      <c r="H266" s="223"/>
      <c r="I266" s="223"/>
      <c r="J266" s="223"/>
      <c r="K266" s="223"/>
      <c r="L266" s="223"/>
      <c r="M266" s="223"/>
      <c r="N266" s="223"/>
      <c r="O266" s="223"/>
      <c r="P266" s="223"/>
      <c r="Q266" s="223"/>
      <c r="R266" s="223"/>
      <c r="S266" s="223"/>
      <c r="T266" s="223"/>
      <c r="U266" s="223"/>
      <c r="V266" s="223"/>
    </row>
    <row r="267" spans="1:22" x14ac:dyDescent="0.2">
      <c r="A267" s="223"/>
      <c r="B267" s="223"/>
      <c r="C267" s="223"/>
      <c r="D267" s="223"/>
      <c r="E267" s="223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3"/>
    </row>
    <row r="268" spans="1:22" x14ac:dyDescent="0.2">
      <c r="A268" s="223"/>
      <c r="B268" s="223"/>
      <c r="C268" s="223"/>
      <c r="D268" s="223"/>
      <c r="E268" s="223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</row>
    <row r="269" spans="1:22" x14ac:dyDescent="0.2">
      <c r="A269" s="223"/>
      <c r="B269" s="223"/>
      <c r="C269" s="223"/>
      <c r="D269" s="223"/>
      <c r="E269" s="223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</row>
    <row r="270" spans="1:22" x14ac:dyDescent="0.2">
      <c r="A270" s="223"/>
      <c r="B270" s="223"/>
      <c r="C270" s="223"/>
      <c r="D270" s="223"/>
      <c r="E270" s="223"/>
      <c r="F270" s="223"/>
      <c r="G270" s="223"/>
      <c r="H270" s="223"/>
      <c r="I270" s="223"/>
      <c r="J270" s="223"/>
      <c r="K270" s="223"/>
      <c r="L270" s="223"/>
      <c r="M270" s="223"/>
      <c r="N270" s="223"/>
      <c r="O270" s="223"/>
      <c r="P270" s="223"/>
      <c r="Q270" s="223"/>
      <c r="R270" s="223"/>
      <c r="S270" s="223"/>
      <c r="T270" s="223"/>
      <c r="U270" s="223"/>
      <c r="V270" s="223"/>
    </row>
    <row r="271" spans="1:22" x14ac:dyDescent="0.2">
      <c r="A271" s="223"/>
      <c r="B271" s="223"/>
      <c r="C271" s="223"/>
      <c r="D271" s="223"/>
      <c r="E271" s="223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3"/>
      <c r="S271" s="223"/>
      <c r="T271" s="223"/>
      <c r="U271" s="223"/>
      <c r="V271" s="223"/>
    </row>
    <row r="272" spans="1:22" x14ac:dyDescent="0.2">
      <c r="A272" s="223"/>
      <c r="B272" s="223"/>
      <c r="C272" s="223"/>
      <c r="D272" s="223"/>
      <c r="E272" s="223"/>
      <c r="F272" s="223"/>
      <c r="G272" s="223"/>
      <c r="H272" s="223"/>
      <c r="I272" s="223"/>
      <c r="J272" s="223"/>
      <c r="K272" s="223"/>
      <c r="L272" s="223"/>
      <c r="M272" s="223"/>
      <c r="N272" s="223"/>
      <c r="O272" s="223"/>
      <c r="P272" s="223"/>
      <c r="Q272" s="223"/>
      <c r="R272" s="223"/>
      <c r="S272" s="223"/>
      <c r="T272" s="223"/>
      <c r="U272" s="223"/>
      <c r="V272" s="223"/>
    </row>
    <row r="273" spans="1:22" x14ac:dyDescent="0.2">
      <c r="A273" s="223"/>
      <c r="B273" s="223"/>
      <c r="C273" s="223"/>
      <c r="D273" s="223"/>
      <c r="E273" s="223"/>
      <c r="F273" s="223"/>
      <c r="G273" s="223"/>
      <c r="H273" s="223"/>
      <c r="I273" s="223"/>
      <c r="J273" s="223"/>
      <c r="K273" s="223"/>
      <c r="L273" s="223"/>
      <c r="M273" s="223"/>
      <c r="N273" s="223"/>
      <c r="O273" s="223"/>
      <c r="P273" s="223"/>
      <c r="Q273" s="223"/>
      <c r="R273" s="223"/>
      <c r="S273" s="223"/>
      <c r="T273" s="223"/>
      <c r="U273" s="223"/>
      <c r="V273" s="223"/>
    </row>
    <row r="274" spans="1:22" x14ac:dyDescent="0.2">
      <c r="A274" s="223"/>
      <c r="B274" s="223"/>
      <c r="C274" s="223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</row>
    <row r="275" spans="1:22" x14ac:dyDescent="0.2">
      <c r="A275" s="223"/>
      <c r="B275" s="223"/>
      <c r="C275" s="223"/>
      <c r="D275" s="223"/>
      <c r="E275" s="223"/>
      <c r="F275" s="223"/>
      <c r="G275" s="223"/>
      <c r="H275" s="223"/>
      <c r="I275" s="223"/>
      <c r="J275" s="223"/>
      <c r="K275" s="223"/>
      <c r="L275" s="223"/>
      <c r="M275" s="223"/>
      <c r="N275" s="223"/>
      <c r="O275" s="223"/>
      <c r="P275" s="223"/>
      <c r="Q275" s="223"/>
      <c r="R275" s="223"/>
      <c r="S275" s="223"/>
      <c r="T275" s="223"/>
      <c r="U275" s="223"/>
      <c r="V275" s="223"/>
    </row>
    <row r="276" spans="1:22" x14ac:dyDescent="0.2">
      <c r="A276" s="223"/>
      <c r="B276" s="223"/>
      <c r="C276" s="223"/>
      <c r="D276" s="223"/>
      <c r="E276" s="223"/>
      <c r="F276" s="223"/>
      <c r="G276" s="223"/>
      <c r="H276" s="223"/>
      <c r="I276" s="223"/>
      <c r="J276" s="223"/>
      <c r="K276" s="223"/>
      <c r="L276" s="223"/>
      <c r="M276" s="223"/>
      <c r="N276" s="223"/>
      <c r="O276" s="223"/>
      <c r="P276" s="223"/>
      <c r="Q276" s="223"/>
      <c r="R276" s="223"/>
      <c r="S276" s="223"/>
      <c r="T276" s="223"/>
      <c r="U276" s="223"/>
      <c r="V276" s="223"/>
    </row>
    <row r="277" spans="1:22" x14ac:dyDescent="0.2">
      <c r="A277" s="223"/>
      <c r="B277" s="223"/>
      <c r="C277" s="223"/>
      <c r="D277" s="223"/>
      <c r="E277" s="223"/>
      <c r="F277" s="223"/>
      <c r="G277" s="223"/>
      <c r="H277" s="223"/>
      <c r="I277" s="223"/>
      <c r="J277" s="223"/>
      <c r="K277" s="223"/>
      <c r="L277" s="223"/>
      <c r="M277" s="223"/>
      <c r="N277" s="223"/>
      <c r="O277" s="223"/>
      <c r="P277" s="223"/>
      <c r="Q277" s="223"/>
      <c r="R277" s="223"/>
      <c r="S277" s="223"/>
      <c r="T277" s="223"/>
      <c r="U277" s="223"/>
      <c r="V277" s="223"/>
    </row>
    <row r="278" spans="1:22" x14ac:dyDescent="0.2">
      <c r="A278" s="223"/>
      <c r="B278" s="223"/>
      <c r="C278" s="223"/>
      <c r="D278" s="223"/>
      <c r="E278" s="223"/>
      <c r="F278" s="223"/>
      <c r="G278" s="223"/>
      <c r="H278" s="223"/>
      <c r="I278" s="223"/>
      <c r="J278" s="223"/>
      <c r="K278" s="223"/>
      <c r="L278" s="223"/>
      <c r="M278" s="223"/>
      <c r="N278" s="223"/>
      <c r="O278" s="223"/>
      <c r="P278" s="223"/>
      <c r="Q278" s="223"/>
      <c r="R278" s="223"/>
      <c r="S278" s="223"/>
      <c r="T278" s="223"/>
      <c r="U278" s="223"/>
      <c r="V278" s="223"/>
    </row>
    <row r="279" spans="1:22" x14ac:dyDescent="0.2">
      <c r="A279" s="223"/>
      <c r="B279" s="223"/>
      <c r="C279" s="223"/>
      <c r="D279" s="223"/>
      <c r="E279" s="223"/>
      <c r="F279" s="223"/>
      <c r="G279" s="223"/>
      <c r="H279" s="223"/>
      <c r="I279" s="223"/>
      <c r="J279" s="223"/>
      <c r="K279" s="223"/>
      <c r="L279" s="223"/>
      <c r="M279" s="223"/>
      <c r="N279" s="223"/>
      <c r="O279" s="223"/>
      <c r="P279" s="223"/>
      <c r="Q279" s="223"/>
      <c r="R279" s="223"/>
      <c r="S279" s="223"/>
      <c r="T279" s="223"/>
      <c r="U279" s="223"/>
      <c r="V279" s="223"/>
    </row>
    <row r="280" spans="1:22" x14ac:dyDescent="0.2">
      <c r="A280" s="223"/>
      <c r="B280" s="223"/>
      <c r="C280" s="223"/>
      <c r="D280" s="223"/>
      <c r="E280" s="223"/>
      <c r="F280" s="223"/>
      <c r="G280" s="223"/>
      <c r="H280" s="223"/>
      <c r="I280" s="223"/>
      <c r="J280" s="223"/>
      <c r="K280" s="223"/>
      <c r="L280" s="223"/>
      <c r="M280" s="223"/>
      <c r="N280" s="223"/>
      <c r="O280" s="223"/>
      <c r="P280" s="223"/>
      <c r="Q280" s="223"/>
      <c r="R280" s="223"/>
      <c r="S280" s="223"/>
      <c r="T280" s="223"/>
      <c r="U280" s="223"/>
      <c r="V280" s="223"/>
    </row>
    <row r="281" spans="1:22" x14ac:dyDescent="0.2">
      <c r="A281" s="223"/>
      <c r="B281" s="223"/>
      <c r="C281" s="223"/>
      <c r="D281" s="223"/>
      <c r="E281" s="223"/>
      <c r="F281" s="223"/>
      <c r="G281" s="223"/>
      <c r="H281" s="223"/>
      <c r="I281" s="223"/>
      <c r="J281" s="223"/>
      <c r="K281" s="223"/>
      <c r="L281" s="223"/>
      <c r="M281" s="223"/>
      <c r="N281" s="223"/>
      <c r="O281" s="223"/>
      <c r="P281" s="223"/>
      <c r="Q281" s="223"/>
      <c r="R281" s="223"/>
      <c r="S281" s="223"/>
      <c r="T281" s="223"/>
      <c r="U281" s="223"/>
      <c r="V281" s="223"/>
    </row>
    <row r="282" spans="1:22" x14ac:dyDescent="0.2">
      <c r="A282" s="223"/>
      <c r="B282" s="223"/>
      <c r="C282" s="223"/>
      <c r="D282" s="223"/>
      <c r="E282" s="223"/>
      <c r="F282" s="223"/>
      <c r="G282" s="223"/>
      <c r="H282" s="223"/>
      <c r="I282" s="223"/>
      <c r="J282" s="223"/>
      <c r="K282" s="223"/>
      <c r="L282" s="223"/>
      <c r="M282" s="223"/>
      <c r="N282" s="223"/>
      <c r="O282" s="223"/>
      <c r="P282" s="223"/>
      <c r="Q282" s="223"/>
      <c r="R282" s="223"/>
      <c r="S282" s="223"/>
      <c r="T282" s="223"/>
      <c r="U282" s="223"/>
      <c r="V282" s="223"/>
    </row>
    <row r="283" spans="1:22" x14ac:dyDescent="0.2">
      <c r="A283" s="223"/>
      <c r="B283" s="223"/>
      <c r="C283" s="223"/>
      <c r="D283" s="223"/>
      <c r="E283" s="223"/>
      <c r="F283" s="223"/>
      <c r="G283" s="223"/>
      <c r="H283" s="223"/>
      <c r="I283" s="223"/>
      <c r="J283" s="223"/>
      <c r="K283" s="223"/>
      <c r="L283" s="223"/>
      <c r="M283" s="223"/>
      <c r="N283" s="223"/>
      <c r="O283" s="223"/>
      <c r="P283" s="223"/>
      <c r="Q283" s="223"/>
      <c r="R283" s="223"/>
      <c r="S283" s="223"/>
      <c r="T283" s="223"/>
      <c r="U283" s="223"/>
      <c r="V283" s="223"/>
    </row>
    <row r="284" spans="1:22" x14ac:dyDescent="0.2">
      <c r="A284" s="223"/>
      <c r="B284" s="223"/>
      <c r="C284" s="223"/>
      <c r="D284" s="223"/>
      <c r="E284" s="223"/>
      <c r="F284" s="223"/>
      <c r="G284" s="223"/>
      <c r="H284" s="223"/>
      <c r="I284" s="223"/>
      <c r="J284" s="223"/>
      <c r="K284" s="223"/>
      <c r="L284" s="223"/>
      <c r="M284" s="223"/>
      <c r="N284" s="223"/>
      <c r="O284" s="223"/>
      <c r="P284" s="223"/>
      <c r="Q284" s="223"/>
      <c r="R284" s="223"/>
      <c r="S284" s="223"/>
      <c r="T284" s="223"/>
      <c r="U284" s="223"/>
      <c r="V284" s="223"/>
    </row>
    <row r="285" spans="1:22" x14ac:dyDescent="0.2">
      <c r="A285" s="223"/>
      <c r="B285" s="223"/>
      <c r="C285" s="223"/>
      <c r="D285" s="223"/>
      <c r="E285" s="223"/>
      <c r="F285" s="223"/>
      <c r="G285" s="223"/>
      <c r="H285" s="223"/>
      <c r="I285" s="223"/>
      <c r="J285" s="223"/>
      <c r="K285" s="223"/>
      <c r="L285" s="223"/>
      <c r="M285" s="223"/>
      <c r="N285" s="223"/>
      <c r="O285" s="223"/>
      <c r="P285" s="223"/>
      <c r="Q285" s="223"/>
      <c r="R285" s="223"/>
      <c r="S285" s="223"/>
      <c r="T285" s="223"/>
      <c r="U285" s="223"/>
      <c r="V285" s="223"/>
    </row>
    <row r="286" spans="1:22" x14ac:dyDescent="0.2">
      <c r="A286" s="223"/>
      <c r="B286" s="223"/>
      <c r="C286" s="223"/>
      <c r="D286" s="223"/>
      <c r="E286" s="223"/>
      <c r="F286" s="223"/>
      <c r="G286" s="223"/>
      <c r="H286" s="223"/>
      <c r="I286" s="223"/>
      <c r="J286" s="223"/>
      <c r="K286" s="223"/>
      <c r="L286" s="223"/>
      <c r="M286" s="223"/>
      <c r="N286" s="223"/>
      <c r="O286" s="223"/>
      <c r="P286" s="223"/>
      <c r="Q286" s="223"/>
      <c r="R286" s="223"/>
      <c r="S286" s="223"/>
      <c r="T286" s="223"/>
      <c r="U286" s="223"/>
      <c r="V286" s="223"/>
    </row>
    <row r="287" spans="1:22" x14ac:dyDescent="0.2">
      <c r="A287" s="223"/>
      <c r="B287" s="223"/>
      <c r="C287" s="223"/>
      <c r="D287" s="223"/>
      <c r="E287" s="223"/>
      <c r="F287" s="223"/>
      <c r="G287" s="223"/>
      <c r="H287" s="223"/>
      <c r="I287" s="223"/>
      <c r="J287" s="223"/>
      <c r="K287" s="223"/>
      <c r="L287" s="223"/>
      <c r="M287" s="223"/>
      <c r="N287" s="223"/>
      <c r="O287" s="223"/>
      <c r="P287" s="223"/>
      <c r="Q287" s="223"/>
      <c r="R287" s="223"/>
      <c r="S287" s="223"/>
      <c r="T287" s="223"/>
      <c r="U287" s="223"/>
      <c r="V287" s="223"/>
    </row>
    <row r="288" spans="1:22" x14ac:dyDescent="0.2">
      <c r="A288" s="223"/>
      <c r="B288" s="223"/>
      <c r="C288" s="223"/>
      <c r="D288" s="223"/>
      <c r="E288" s="223"/>
      <c r="F288" s="223"/>
      <c r="G288" s="223"/>
      <c r="H288" s="223"/>
      <c r="I288" s="223"/>
      <c r="J288" s="223"/>
      <c r="K288" s="223"/>
      <c r="L288" s="223"/>
      <c r="M288" s="223"/>
      <c r="N288" s="223"/>
      <c r="O288" s="223"/>
      <c r="P288" s="223"/>
      <c r="Q288" s="223"/>
      <c r="R288" s="223"/>
      <c r="S288" s="223"/>
      <c r="T288" s="223"/>
      <c r="U288" s="223"/>
      <c r="V288" s="223"/>
    </row>
    <row r="289" spans="1:22" x14ac:dyDescent="0.2">
      <c r="A289" s="223"/>
      <c r="B289" s="223"/>
      <c r="C289" s="223"/>
      <c r="D289" s="223"/>
      <c r="E289" s="223"/>
      <c r="F289" s="223"/>
      <c r="G289" s="223"/>
      <c r="H289" s="223"/>
      <c r="I289" s="223"/>
      <c r="J289" s="223"/>
      <c r="K289" s="223"/>
      <c r="L289" s="223"/>
      <c r="M289" s="223"/>
      <c r="N289" s="223"/>
      <c r="O289" s="223"/>
      <c r="P289" s="223"/>
      <c r="Q289" s="223"/>
      <c r="R289" s="223"/>
      <c r="S289" s="223"/>
      <c r="T289" s="223"/>
      <c r="U289" s="223"/>
      <c r="V289" s="223"/>
    </row>
    <row r="290" spans="1:22" x14ac:dyDescent="0.2">
      <c r="A290" s="223"/>
      <c r="B290" s="223"/>
      <c r="C290" s="223"/>
      <c r="D290" s="223"/>
      <c r="E290" s="223"/>
      <c r="F290" s="223"/>
      <c r="G290" s="223"/>
      <c r="H290" s="223"/>
      <c r="I290" s="223"/>
      <c r="J290" s="223"/>
      <c r="K290" s="223"/>
      <c r="L290" s="223"/>
      <c r="M290" s="223"/>
      <c r="N290" s="223"/>
      <c r="O290" s="223"/>
      <c r="P290" s="223"/>
      <c r="Q290" s="223"/>
      <c r="R290" s="223"/>
      <c r="S290" s="223"/>
      <c r="T290" s="223"/>
      <c r="U290" s="223"/>
      <c r="V290" s="223"/>
    </row>
    <row r="291" spans="1:22" x14ac:dyDescent="0.2">
      <c r="A291" s="223"/>
      <c r="B291" s="223"/>
      <c r="C291" s="223"/>
      <c r="D291" s="223"/>
      <c r="E291" s="223"/>
      <c r="F291" s="223"/>
      <c r="G291" s="223"/>
      <c r="H291" s="223"/>
      <c r="I291" s="223"/>
      <c r="J291" s="223"/>
      <c r="K291" s="223"/>
      <c r="L291" s="223"/>
      <c r="M291" s="223"/>
      <c r="N291" s="223"/>
      <c r="O291" s="223"/>
      <c r="P291" s="223"/>
      <c r="Q291" s="223"/>
      <c r="R291" s="223"/>
      <c r="S291" s="223"/>
      <c r="T291" s="223"/>
      <c r="U291" s="223"/>
      <c r="V291" s="223"/>
    </row>
    <row r="292" spans="1:22" x14ac:dyDescent="0.2">
      <c r="A292" s="223"/>
      <c r="B292" s="223"/>
      <c r="C292" s="223"/>
      <c r="D292" s="223"/>
      <c r="E292" s="223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3"/>
      <c r="R292" s="223"/>
      <c r="S292" s="223"/>
      <c r="T292" s="223"/>
      <c r="U292" s="223"/>
      <c r="V292" s="223"/>
    </row>
    <row r="293" spans="1:22" x14ac:dyDescent="0.2">
      <c r="A293" s="223"/>
      <c r="B293" s="223"/>
      <c r="C293" s="223"/>
      <c r="D293" s="223"/>
      <c r="E293" s="223"/>
      <c r="F293" s="223"/>
      <c r="G293" s="223"/>
      <c r="H293" s="223"/>
      <c r="I293" s="223"/>
      <c r="J293" s="223"/>
      <c r="K293" s="223"/>
      <c r="L293" s="223"/>
      <c r="M293" s="223"/>
      <c r="N293" s="223"/>
      <c r="O293" s="223"/>
      <c r="P293" s="223"/>
      <c r="Q293" s="223"/>
      <c r="R293" s="223"/>
      <c r="S293" s="223"/>
      <c r="T293" s="223"/>
      <c r="U293" s="223"/>
      <c r="V293" s="223"/>
    </row>
    <row r="294" spans="1:22" x14ac:dyDescent="0.2">
      <c r="A294" s="223"/>
      <c r="B294" s="223"/>
      <c r="C294" s="223"/>
      <c r="D294" s="223"/>
      <c r="E294" s="223"/>
      <c r="F294" s="223"/>
      <c r="G294" s="223"/>
      <c r="H294" s="223"/>
      <c r="I294" s="223"/>
      <c r="J294" s="223"/>
      <c r="K294" s="223"/>
      <c r="L294" s="223"/>
      <c r="M294" s="223"/>
      <c r="N294" s="223"/>
      <c r="O294" s="223"/>
      <c r="P294" s="223"/>
      <c r="Q294" s="223"/>
      <c r="R294" s="223"/>
      <c r="S294" s="223"/>
      <c r="T294" s="223"/>
      <c r="U294" s="223"/>
      <c r="V294" s="223"/>
    </row>
    <row r="295" spans="1:22" x14ac:dyDescent="0.2">
      <c r="A295" s="223"/>
      <c r="B295" s="223"/>
      <c r="C295" s="223"/>
      <c r="D295" s="223"/>
      <c r="E295" s="223"/>
      <c r="F295" s="223"/>
      <c r="G295" s="223"/>
      <c r="H295" s="223"/>
      <c r="I295" s="223"/>
      <c r="J295" s="223"/>
      <c r="K295" s="223"/>
      <c r="L295" s="223"/>
      <c r="M295" s="223"/>
      <c r="N295" s="223"/>
      <c r="O295" s="223"/>
      <c r="P295" s="223"/>
      <c r="Q295" s="223"/>
      <c r="R295" s="223"/>
      <c r="S295" s="223"/>
      <c r="T295" s="223"/>
      <c r="U295" s="223"/>
      <c r="V295" s="223"/>
    </row>
    <row r="296" spans="1:22" x14ac:dyDescent="0.2">
      <c r="A296" s="223"/>
      <c r="B296" s="223"/>
      <c r="C296" s="223"/>
      <c r="D296" s="223"/>
      <c r="E296" s="223"/>
      <c r="F296" s="223"/>
      <c r="G296" s="223"/>
      <c r="H296" s="223"/>
      <c r="I296" s="223"/>
      <c r="J296" s="223"/>
      <c r="K296" s="223"/>
      <c r="L296" s="223"/>
      <c r="M296" s="223"/>
      <c r="N296" s="223"/>
      <c r="O296" s="223"/>
      <c r="P296" s="223"/>
      <c r="Q296" s="223"/>
      <c r="R296" s="223"/>
      <c r="S296" s="223"/>
      <c r="T296" s="223"/>
      <c r="U296" s="223"/>
      <c r="V296" s="223"/>
    </row>
    <row r="297" spans="1:22" x14ac:dyDescent="0.2">
      <c r="A297" s="223"/>
      <c r="B297" s="223"/>
      <c r="C297" s="223"/>
      <c r="D297" s="223"/>
      <c r="E297" s="223"/>
      <c r="F297" s="223"/>
      <c r="G297" s="223"/>
      <c r="H297" s="223"/>
      <c r="I297" s="223"/>
      <c r="J297" s="223"/>
      <c r="K297" s="223"/>
      <c r="L297" s="223"/>
      <c r="M297" s="223"/>
      <c r="N297" s="223"/>
      <c r="O297" s="223"/>
      <c r="P297" s="223"/>
      <c r="Q297" s="223"/>
      <c r="R297" s="223"/>
      <c r="S297" s="223"/>
      <c r="T297" s="223"/>
      <c r="U297" s="223"/>
      <c r="V297" s="223"/>
    </row>
  </sheetData>
  <sheetProtection algorithmName="SHA-512" hashValue="LFGf+omu9iZnwteuFx0MQr6aK0kxCdQfPS8IUg+tZQHZPcusXChxAvV22TPEtO9iDGxiXo6Km1OuPoU+BYi3/A==" saltValue="/SvWhbIQz9gNzs9XIAZ7JQ==" spinCount="100000" sheet="1" objects="1" scenarios="1"/>
  <mergeCells count="10">
    <mergeCell ref="W1:AL2"/>
    <mergeCell ref="B2:K4"/>
    <mergeCell ref="AO13:AP13"/>
    <mergeCell ref="AQ13:AR13"/>
    <mergeCell ref="AA65:AJ73"/>
    <mergeCell ref="AS13:AT13"/>
    <mergeCell ref="AU13:AV13"/>
    <mergeCell ref="O36:R42"/>
    <mergeCell ref="O43:T48"/>
    <mergeCell ref="O50:T5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E48341-E1E4-4F07-A2AB-99146EAC3A1F}">
          <x14:formula1>
            <xm:f>'Data List'!$B$3:$B$4</xm:f>
          </x14:formula1>
          <xm:sqref>C9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098CF-0B8A-4F71-BDB2-B58635993812}">
  <sheetPr codeName="Sheet16"/>
  <dimension ref="A1:AV297"/>
  <sheetViews>
    <sheetView zoomScale="50" zoomScaleNormal="50" workbookViewId="0">
      <selection activeCell="R68" sqref="R68"/>
    </sheetView>
  </sheetViews>
  <sheetFormatPr baseColWidth="10" defaultColWidth="8.6640625" defaultRowHeight="15" x14ac:dyDescent="0.2"/>
  <cols>
    <col min="1" max="1" width="8.6640625" style="209"/>
    <col min="2" max="2" width="52.5" style="209" customWidth="1"/>
    <col min="3" max="3" width="20.6640625" style="209" customWidth="1"/>
    <col min="4" max="4" width="18.1640625" style="209" bestFit="1" customWidth="1"/>
    <col min="5" max="5" width="20.5" style="209" bestFit="1" customWidth="1"/>
    <col min="6" max="6" width="18.1640625" style="209" bestFit="1" customWidth="1"/>
    <col min="7" max="7" width="8.83203125" style="209" bestFit="1" customWidth="1"/>
    <col min="8" max="9" width="8.6640625" style="209"/>
    <col min="10" max="10" width="8.83203125" style="209" bestFit="1" customWidth="1"/>
    <col min="11" max="11" width="15.5" style="209" bestFit="1" customWidth="1"/>
    <col min="12" max="12" width="16.5" style="209" bestFit="1" customWidth="1"/>
    <col min="13" max="13" width="16.83203125" style="209" bestFit="1" customWidth="1"/>
    <col min="14" max="14" width="7.5" style="209" customWidth="1"/>
    <col min="15" max="15" width="9.5" style="209" bestFit="1" customWidth="1"/>
    <col min="16" max="16" width="8.83203125" style="209" bestFit="1" customWidth="1"/>
    <col min="17" max="17" width="11.5" style="209" bestFit="1" customWidth="1"/>
    <col min="18" max="18" width="17" style="209" customWidth="1"/>
    <col min="19" max="19" width="10.33203125" style="209" bestFit="1" customWidth="1"/>
    <col min="20" max="20" width="13.33203125" style="209" bestFit="1" customWidth="1"/>
    <col min="21" max="21" width="14.5" style="209" bestFit="1" customWidth="1"/>
    <col min="22" max="22" width="12.83203125" style="209" bestFit="1" customWidth="1"/>
    <col min="23" max="25" width="8.6640625" style="209"/>
    <col min="26" max="27" width="8.83203125" style="209" bestFit="1" customWidth="1"/>
    <col min="28" max="28" width="15.5" style="209" bestFit="1" customWidth="1"/>
    <col min="29" max="29" width="9.5" style="209" bestFit="1" customWidth="1"/>
    <col min="30" max="30" width="9.5" style="209" customWidth="1"/>
    <col min="31" max="31" width="8.83203125" style="209" bestFit="1" customWidth="1"/>
    <col min="32" max="39" width="8.6640625" style="209"/>
    <col min="40" max="40" width="13.5" style="209" customWidth="1"/>
    <col min="41" max="41" width="10.1640625" style="209" customWidth="1"/>
    <col min="42" max="42" width="12.5" style="209" bestFit="1" customWidth="1"/>
    <col min="43" max="43" width="11.1640625" style="209" bestFit="1" customWidth="1"/>
    <col min="44" max="44" width="13.5" style="209" bestFit="1" customWidth="1"/>
    <col min="45" max="45" width="11.1640625" style="209" bestFit="1" customWidth="1"/>
    <col min="46" max="46" width="13.5" style="209" bestFit="1" customWidth="1"/>
    <col min="47" max="47" width="11.1640625" style="209" bestFit="1" customWidth="1"/>
    <col min="48" max="48" width="13.5" style="209" bestFit="1" customWidth="1"/>
    <col min="49" max="16384" width="8.6640625" style="209"/>
  </cols>
  <sheetData>
    <row r="1" spans="1:48" ht="20" customHeight="1" x14ac:dyDescent="0.2">
      <c r="W1" s="285" t="s">
        <v>144</v>
      </c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</row>
    <row r="2" spans="1:48" ht="20" customHeight="1" x14ac:dyDescent="0.2">
      <c r="B2" s="291" t="s">
        <v>157</v>
      </c>
      <c r="C2" s="291"/>
      <c r="D2" s="291"/>
      <c r="E2" s="291"/>
      <c r="F2" s="291"/>
      <c r="G2" s="291"/>
      <c r="H2" s="291"/>
      <c r="I2" s="291"/>
      <c r="J2" s="291"/>
      <c r="K2" s="291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5"/>
      <c r="AH2" s="285"/>
      <c r="AI2" s="285"/>
      <c r="AJ2" s="285"/>
      <c r="AK2" s="285"/>
      <c r="AL2" s="285"/>
    </row>
    <row r="3" spans="1:48" ht="9.75" customHeight="1" x14ac:dyDescent="0.55000000000000004">
      <c r="B3" s="292"/>
      <c r="C3" s="292"/>
      <c r="D3" s="292"/>
      <c r="E3" s="292"/>
      <c r="F3" s="292"/>
      <c r="G3" s="292"/>
      <c r="H3" s="292"/>
      <c r="I3" s="292"/>
      <c r="J3" s="292"/>
      <c r="K3" s="292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</row>
    <row r="4" spans="1:48" ht="21" x14ac:dyDescent="0.25">
      <c r="A4" s="210"/>
      <c r="B4" s="293"/>
      <c r="C4" s="293"/>
      <c r="D4" s="293"/>
      <c r="E4" s="293"/>
      <c r="F4" s="293"/>
      <c r="G4" s="293"/>
      <c r="H4" s="293"/>
      <c r="I4" s="293"/>
      <c r="J4" s="293"/>
      <c r="K4" s="293"/>
    </row>
    <row r="5" spans="1:48" ht="21" x14ac:dyDescent="0.25">
      <c r="A5" s="210"/>
      <c r="G5" s="211"/>
      <c r="H5" s="212"/>
      <c r="I5" s="213"/>
    </row>
    <row r="6" spans="1:48" ht="31" x14ac:dyDescent="0.35">
      <c r="A6" s="210"/>
      <c r="B6" s="214" t="s">
        <v>120</v>
      </c>
      <c r="G6" s="210"/>
    </row>
    <row r="7" spans="1:48" ht="54" x14ac:dyDescent="0.25">
      <c r="A7" s="210"/>
      <c r="B7" s="170" t="s">
        <v>146</v>
      </c>
      <c r="C7" s="171"/>
      <c r="D7" s="171"/>
      <c r="E7" s="171"/>
      <c r="F7" s="172" t="s">
        <v>147</v>
      </c>
      <c r="G7" s="210"/>
    </row>
    <row r="8" spans="1:48" ht="26" x14ac:dyDescent="0.3">
      <c r="A8" s="210"/>
      <c r="B8" s="173" t="s">
        <v>114</v>
      </c>
      <c r="C8" s="174"/>
      <c r="D8" s="174"/>
      <c r="E8" s="174"/>
      <c r="F8" s="175">
        <f>SUBTOTAL(9,F9:F10)</f>
        <v>20000</v>
      </c>
      <c r="G8" s="210"/>
    </row>
    <row r="9" spans="1:48" ht="26" x14ac:dyDescent="0.3">
      <c r="A9" s="210"/>
      <c r="B9" s="176" t="s">
        <v>148</v>
      </c>
      <c r="C9" s="233" t="s">
        <v>149</v>
      </c>
      <c r="D9" s="234">
        <v>40</v>
      </c>
      <c r="E9" s="235">
        <v>500</v>
      </c>
      <c r="F9" s="177">
        <f>D9*E9</f>
        <v>20000</v>
      </c>
      <c r="G9" s="210"/>
    </row>
    <row r="10" spans="1:48" ht="26" x14ac:dyDescent="0.3">
      <c r="A10" s="210"/>
      <c r="B10" s="178"/>
      <c r="C10" s="179"/>
      <c r="D10" s="179"/>
      <c r="E10" s="179"/>
      <c r="F10" s="180"/>
      <c r="G10" s="210"/>
    </row>
    <row r="11" spans="1:48" s="216" customFormat="1" ht="26" x14ac:dyDescent="0.3">
      <c r="A11" s="215"/>
      <c r="B11" s="203"/>
      <c r="C11" s="204"/>
      <c r="D11" s="204"/>
      <c r="E11" s="204"/>
      <c r="F11" s="205"/>
      <c r="G11" s="215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</row>
    <row r="12" spans="1:48" ht="26" x14ac:dyDescent="0.3">
      <c r="A12" s="210"/>
      <c r="B12" s="181"/>
      <c r="C12" s="230"/>
      <c r="D12" s="208"/>
      <c r="E12" s="208"/>
      <c r="F12" s="182"/>
      <c r="G12" s="210"/>
      <c r="AB12" s="216"/>
      <c r="AC12" s="216"/>
      <c r="AD12" s="216"/>
      <c r="AE12" s="216"/>
      <c r="AF12" s="216"/>
      <c r="AG12" s="216"/>
      <c r="AH12" s="216"/>
      <c r="AI12" s="216"/>
      <c r="AJ12" s="216"/>
      <c r="AK12" s="216"/>
      <c r="AL12" s="216"/>
      <c r="AM12" s="216"/>
      <c r="AN12" s="216"/>
    </row>
    <row r="13" spans="1:48" ht="27" x14ac:dyDescent="0.3">
      <c r="A13" s="210"/>
      <c r="B13" s="206" t="s">
        <v>1</v>
      </c>
      <c r="C13" s="183" t="s">
        <v>109</v>
      </c>
      <c r="D13" s="183"/>
      <c r="E13" s="183"/>
      <c r="F13" s="207">
        <f>'Almonds Margin - Alternative'!BO7+F17</f>
        <v>14060.132</v>
      </c>
      <c r="G13" s="210"/>
      <c r="AO13" s="282"/>
      <c r="AP13" s="282"/>
      <c r="AQ13" s="282"/>
      <c r="AR13" s="282"/>
      <c r="AS13" s="282"/>
      <c r="AT13" s="282"/>
      <c r="AU13" s="282"/>
      <c r="AV13" s="282"/>
    </row>
    <row r="14" spans="1:48" ht="26" x14ac:dyDescent="0.3">
      <c r="A14" s="210"/>
      <c r="B14" s="174" t="s">
        <v>10</v>
      </c>
      <c r="C14" s="184" t="s">
        <v>150</v>
      </c>
      <c r="D14" s="236">
        <v>28</v>
      </c>
      <c r="E14" s="237">
        <v>43.22</v>
      </c>
      <c r="F14" s="185">
        <f>D14*E14</f>
        <v>1210.1599999999999</v>
      </c>
      <c r="G14" s="210"/>
      <c r="AN14" s="218"/>
      <c r="AO14" s="218"/>
      <c r="AP14" s="218"/>
      <c r="AQ14" s="218"/>
      <c r="AR14" s="218"/>
      <c r="AS14" s="218"/>
      <c r="AT14" s="218"/>
      <c r="AU14" s="218"/>
      <c r="AV14" s="218"/>
    </row>
    <row r="15" spans="1:48" ht="26" x14ac:dyDescent="0.3">
      <c r="A15" s="210"/>
      <c r="B15" s="174" t="s">
        <v>17</v>
      </c>
      <c r="C15" s="184" t="s">
        <v>151</v>
      </c>
      <c r="D15" s="238">
        <v>11</v>
      </c>
      <c r="E15" s="237">
        <v>113</v>
      </c>
      <c r="F15" s="185">
        <f>D15*E15</f>
        <v>1243</v>
      </c>
      <c r="G15" s="210"/>
    </row>
    <row r="16" spans="1:48" ht="26" x14ac:dyDescent="0.3">
      <c r="A16" s="210"/>
      <c r="B16" s="174" t="s">
        <v>152</v>
      </c>
      <c r="C16" s="184"/>
      <c r="D16" s="174"/>
      <c r="E16" s="186"/>
      <c r="F16" s="185">
        <f>F13-F14-F15</f>
        <v>11606.972</v>
      </c>
      <c r="G16" s="210"/>
    </row>
    <row r="17" spans="2:48" ht="26" x14ac:dyDescent="0.3">
      <c r="B17" s="174" t="s">
        <v>153</v>
      </c>
      <c r="C17" s="184" t="s">
        <v>154</v>
      </c>
      <c r="D17" s="239">
        <v>0</v>
      </c>
      <c r="E17" s="186"/>
      <c r="F17" s="185"/>
    </row>
    <row r="18" spans="2:48" x14ac:dyDescent="0.2">
      <c r="B18" s="219"/>
      <c r="C18" s="217"/>
      <c r="D18" s="202"/>
      <c r="E18" s="220"/>
    </row>
    <row r="19" spans="2:48" x14ac:dyDescent="0.2">
      <c r="B19" s="219"/>
      <c r="C19" s="217"/>
      <c r="E19" s="220"/>
      <c r="AO19" s="216"/>
      <c r="AP19" s="216"/>
      <c r="AQ19" s="216"/>
      <c r="AR19" s="216"/>
      <c r="AS19" s="216"/>
      <c r="AT19" s="216"/>
      <c r="AU19" s="216"/>
      <c r="AV19" s="216"/>
    </row>
    <row r="20" spans="2:48" x14ac:dyDescent="0.2">
      <c r="B20" s="219"/>
    </row>
    <row r="21" spans="2:48" x14ac:dyDescent="0.2">
      <c r="B21" s="219"/>
      <c r="C21" s="217"/>
      <c r="E21" s="220"/>
    </row>
    <row r="22" spans="2:48" x14ac:dyDescent="0.2">
      <c r="B22" s="219"/>
      <c r="C22" s="217"/>
      <c r="E22" s="220"/>
    </row>
    <row r="23" spans="2:48" x14ac:dyDescent="0.2">
      <c r="B23" s="219"/>
      <c r="C23" s="217"/>
      <c r="E23" s="220"/>
    </row>
    <row r="24" spans="2:48" x14ac:dyDescent="0.2">
      <c r="B24" s="219"/>
      <c r="C24" s="217"/>
      <c r="D24" s="221"/>
      <c r="E24" s="220"/>
    </row>
    <row r="25" spans="2:48" x14ac:dyDescent="0.2">
      <c r="B25" s="219"/>
      <c r="C25" s="217"/>
      <c r="E25" s="220"/>
    </row>
    <row r="26" spans="2:48" x14ac:dyDescent="0.2">
      <c r="B26" s="219"/>
      <c r="C26" s="217"/>
      <c r="E26" s="220"/>
    </row>
    <row r="27" spans="2:48" x14ac:dyDescent="0.2">
      <c r="B27" s="219"/>
      <c r="C27" s="217"/>
      <c r="E27" s="220"/>
    </row>
    <row r="28" spans="2:48" x14ac:dyDescent="0.2">
      <c r="B28" s="219"/>
      <c r="C28" s="217"/>
      <c r="E28" s="220"/>
    </row>
    <row r="29" spans="2:48" x14ac:dyDescent="0.2">
      <c r="C29" s="217"/>
      <c r="E29" s="220"/>
    </row>
    <row r="30" spans="2:48" x14ac:dyDescent="0.2">
      <c r="C30" s="217"/>
      <c r="E30" s="220"/>
    </row>
    <row r="31" spans="2:48" ht="14.5" customHeight="1" x14ac:dyDescent="0.2">
      <c r="C31" s="217"/>
      <c r="E31" s="220"/>
      <c r="M31" s="222"/>
      <c r="N31" s="222"/>
      <c r="O31" s="222"/>
      <c r="P31" s="222"/>
      <c r="Q31" s="222"/>
      <c r="R31" s="222"/>
      <c r="S31" s="222"/>
      <c r="T31" s="222"/>
    </row>
    <row r="32" spans="2:48" ht="14.5" customHeight="1" x14ac:dyDescent="0.2">
      <c r="C32" s="217"/>
      <c r="E32" s="220"/>
      <c r="M32" s="222"/>
      <c r="N32" s="222"/>
      <c r="O32" s="222"/>
      <c r="P32" s="222"/>
      <c r="Q32" s="222"/>
      <c r="R32" s="222"/>
      <c r="S32" s="222"/>
      <c r="T32" s="222"/>
    </row>
    <row r="33" spans="1:25" ht="14.5" customHeight="1" x14ac:dyDescent="0.2">
      <c r="C33" s="217"/>
      <c r="E33" s="220"/>
      <c r="M33" s="222"/>
      <c r="N33" s="222"/>
      <c r="O33" s="222"/>
      <c r="P33" s="222"/>
      <c r="Q33" s="222"/>
      <c r="R33" s="222"/>
      <c r="S33" s="222"/>
      <c r="T33" s="222"/>
    </row>
    <row r="34" spans="1:25" ht="14.5" customHeight="1" x14ac:dyDescent="0.2">
      <c r="E34" s="220"/>
      <c r="M34" s="222"/>
      <c r="N34" s="222"/>
      <c r="O34" s="222"/>
      <c r="P34" s="222"/>
      <c r="Q34" s="222"/>
      <c r="R34" s="222"/>
      <c r="S34" s="222"/>
      <c r="T34" s="222"/>
    </row>
    <row r="35" spans="1:25" ht="14.5" customHeight="1" x14ac:dyDescent="0.2">
      <c r="E35" s="220"/>
      <c r="M35" s="222"/>
      <c r="N35" s="222"/>
      <c r="O35" s="222"/>
      <c r="P35" s="222"/>
      <c r="Q35" s="222"/>
      <c r="R35" s="222"/>
      <c r="S35" s="222"/>
      <c r="T35" s="222"/>
    </row>
    <row r="36" spans="1:25" ht="14.5" customHeight="1" x14ac:dyDescent="0.2">
      <c r="M36" s="222"/>
      <c r="N36" s="222"/>
      <c r="O36" s="288"/>
      <c r="P36" s="288"/>
      <c r="Q36" s="288"/>
      <c r="R36" s="288"/>
      <c r="S36" s="222"/>
      <c r="T36" s="222"/>
    </row>
    <row r="37" spans="1:25" ht="14.5" customHeight="1" x14ac:dyDescent="0.2">
      <c r="M37" s="222"/>
      <c r="N37" s="222"/>
      <c r="O37" s="288"/>
      <c r="P37" s="288"/>
      <c r="Q37" s="288"/>
      <c r="R37" s="288"/>
      <c r="S37" s="222"/>
      <c r="T37" s="222"/>
    </row>
    <row r="38" spans="1:25" ht="14.5" customHeight="1" x14ac:dyDescent="0.2">
      <c r="M38" s="222"/>
      <c r="N38" s="222"/>
      <c r="O38" s="288"/>
      <c r="P38" s="288"/>
      <c r="Q38" s="288"/>
      <c r="R38" s="288"/>
      <c r="S38" s="222"/>
      <c r="T38" s="222"/>
    </row>
    <row r="39" spans="1:25" ht="14.5" customHeight="1" x14ac:dyDescent="0.2">
      <c r="M39" s="222"/>
      <c r="N39" s="222"/>
      <c r="O39" s="288"/>
      <c r="P39" s="288"/>
      <c r="Q39" s="288"/>
      <c r="R39" s="288"/>
      <c r="S39" s="222"/>
      <c r="T39" s="222"/>
    </row>
    <row r="40" spans="1:25" ht="14.5" customHeight="1" x14ac:dyDescent="0.2">
      <c r="M40" s="222"/>
      <c r="N40" s="222"/>
      <c r="O40" s="288"/>
      <c r="P40" s="288"/>
      <c r="Q40" s="288"/>
      <c r="R40" s="288"/>
      <c r="S40" s="222"/>
      <c r="T40" s="222"/>
    </row>
    <row r="41" spans="1:25" ht="14.5" customHeight="1" x14ac:dyDescent="0.2">
      <c r="M41" s="222"/>
      <c r="N41" s="222"/>
      <c r="O41" s="288"/>
      <c r="P41" s="288"/>
      <c r="Q41" s="288"/>
      <c r="R41" s="288"/>
      <c r="S41" s="222"/>
      <c r="T41" s="222"/>
    </row>
    <row r="42" spans="1:25" ht="14.5" customHeight="1" x14ac:dyDescent="0.2">
      <c r="M42" s="222"/>
      <c r="N42" s="222"/>
      <c r="O42" s="288"/>
      <c r="P42" s="288"/>
      <c r="Q42" s="288"/>
      <c r="R42" s="288"/>
      <c r="S42" s="222"/>
      <c r="T42" s="222"/>
    </row>
    <row r="43" spans="1:25" ht="14.5" customHeight="1" x14ac:dyDescent="0.2">
      <c r="M43" s="222"/>
      <c r="N43" s="222"/>
      <c r="O43" s="286" t="s">
        <v>155</v>
      </c>
      <c r="P43" s="286"/>
      <c r="Q43" s="286"/>
      <c r="R43" s="286"/>
      <c r="S43" s="286"/>
      <c r="T43" s="286"/>
    </row>
    <row r="44" spans="1:25" ht="14.5" customHeight="1" x14ac:dyDescent="0.2">
      <c r="M44" s="222"/>
      <c r="N44" s="222"/>
      <c r="O44" s="286"/>
      <c r="P44" s="286"/>
      <c r="Q44" s="286"/>
      <c r="R44" s="286"/>
      <c r="S44" s="286"/>
      <c r="T44" s="286"/>
    </row>
    <row r="45" spans="1:25" ht="23.25" customHeight="1" x14ac:dyDescent="0.2">
      <c r="M45" s="222"/>
      <c r="N45" s="222"/>
      <c r="O45" s="286"/>
      <c r="P45" s="286"/>
      <c r="Q45" s="286"/>
      <c r="R45" s="286"/>
      <c r="S45" s="286"/>
      <c r="T45" s="286"/>
    </row>
    <row r="46" spans="1:25" ht="14.5" customHeight="1" x14ac:dyDescent="0.2">
      <c r="A46" s="218"/>
      <c r="B46" s="218"/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22"/>
      <c r="N46" s="222"/>
      <c r="O46" s="286"/>
      <c r="P46" s="286"/>
      <c r="Q46" s="286"/>
      <c r="R46" s="286"/>
      <c r="S46" s="286"/>
      <c r="T46" s="286"/>
    </row>
    <row r="47" spans="1:25" ht="14.5" customHeight="1" x14ac:dyDescent="0.2">
      <c r="A47" s="223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2"/>
      <c r="N47" s="222"/>
      <c r="O47" s="286"/>
      <c r="P47" s="286"/>
      <c r="Q47" s="286"/>
      <c r="R47" s="286"/>
      <c r="S47" s="286"/>
      <c r="T47" s="286"/>
      <c r="U47" s="223"/>
      <c r="V47" s="223"/>
      <c r="W47" s="224"/>
      <c r="X47" s="224"/>
      <c r="Y47" s="224"/>
    </row>
    <row r="48" spans="1:25" ht="14.5" customHeight="1" x14ac:dyDescent="0.2"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2"/>
      <c r="N48" s="222"/>
      <c r="O48" s="286"/>
      <c r="P48" s="286"/>
      <c r="Q48" s="286"/>
      <c r="R48" s="286"/>
      <c r="S48" s="286"/>
      <c r="T48" s="286"/>
    </row>
    <row r="49" spans="3:23" ht="14.5" customHeight="1" x14ac:dyDescent="0.2">
      <c r="C49" s="225"/>
      <c r="D49" s="225"/>
      <c r="E49" s="225"/>
      <c r="F49" s="225"/>
      <c r="G49" s="225"/>
      <c r="M49" s="226"/>
      <c r="N49" s="226"/>
      <c r="O49" s="232"/>
      <c r="P49" s="232"/>
      <c r="Q49" s="232"/>
      <c r="R49" s="232"/>
      <c r="S49" s="226"/>
      <c r="T49" s="226"/>
    </row>
    <row r="50" spans="3:23" ht="14.5" customHeight="1" x14ac:dyDescent="0.2">
      <c r="C50" s="217"/>
      <c r="D50" s="217"/>
      <c r="E50" s="217"/>
      <c r="F50" s="217"/>
      <c r="G50" s="227"/>
      <c r="H50" s="227"/>
      <c r="I50" s="227"/>
      <c r="J50" s="227"/>
      <c r="K50" s="227"/>
      <c r="L50" s="227"/>
      <c r="M50" s="226"/>
      <c r="N50" s="226"/>
      <c r="O50" s="287">
        <f>'Main Variables'!AM4</f>
        <v>26.369686315789476</v>
      </c>
      <c r="P50" s="287"/>
      <c r="Q50" s="287"/>
      <c r="R50" s="287"/>
      <c r="S50" s="287"/>
      <c r="T50" s="287"/>
    </row>
    <row r="51" spans="3:23" ht="14.5" customHeight="1" x14ac:dyDescent="0.2">
      <c r="C51" s="228"/>
      <c r="D51" s="228"/>
      <c r="E51" s="228"/>
      <c r="F51" s="228"/>
      <c r="G51" s="229"/>
      <c r="M51" s="226"/>
      <c r="N51" s="226"/>
      <c r="O51" s="287"/>
      <c r="P51" s="287"/>
      <c r="Q51" s="287"/>
      <c r="R51" s="287"/>
      <c r="S51" s="287"/>
      <c r="T51" s="287"/>
      <c r="U51" s="217"/>
      <c r="V51" s="217"/>
      <c r="W51" s="217"/>
    </row>
    <row r="52" spans="3:23" ht="14.5" customHeight="1" x14ac:dyDescent="0.2">
      <c r="C52" s="228"/>
      <c r="D52" s="228"/>
      <c r="E52" s="228"/>
      <c r="F52" s="228"/>
      <c r="G52" s="229"/>
      <c r="M52" s="226"/>
      <c r="N52" s="226"/>
      <c r="O52" s="287"/>
      <c r="P52" s="287"/>
      <c r="Q52" s="287"/>
      <c r="R52" s="287"/>
      <c r="S52" s="287"/>
      <c r="T52" s="287"/>
      <c r="U52" s="229"/>
      <c r="V52" s="229"/>
      <c r="W52" s="229"/>
    </row>
    <row r="53" spans="3:23" ht="14.5" customHeight="1" x14ac:dyDescent="0.2">
      <c r="C53" s="228"/>
      <c r="D53" s="228"/>
      <c r="E53" s="228"/>
      <c r="F53" s="228"/>
      <c r="G53" s="229"/>
      <c r="M53" s="226"/>
      <c r="N53" s="226"/>
      <c r="O53" s="287"/>
      <c r="P53" s="287"/>
      <c r="Q53" s="287"/>
      <c r="R53" s="287"/>
      <c r="S53" s="287"/>
      <c r="T53" s="287"/>
      <c r="U53" s="229"/>
      <c r="V53" s="229"/>
      <c r="W53" s="229"/>
    </row>
    <row r="54" spans="3:23" ht="14.5" customHeight="1" x14ac:dyDescent="0.2">
      <c r="C54" s="228"/>
      <c r="D54" s="228"/>
      <c r="E54" s="228"/>
      <c r="F54" s="228"/>
      <c r="G54" s="229"/>
      <c r="M54" s="226"/>
      <c r="N54" s="226"/>
      <c r="O54" s="226"/>
      <c r="P54" s="226"/>
      <c r="Q54" s="226"/>
      <c r="R54" s="226"/>
      <c r="S54" s="226"/>
      <c r="T54" s="226"/>
      <c r="U54" s="229"/>
      <c r="V54" s="229"/>
      <c r="W54" s="229"/>
    </row>
    <row r="55" spans="3:23" ht="14.5" customHeight="1" x14ac:dyDescent="0.2">
      <c r="C55" s="228"/>
      <c r="D55" s="228"/>
      <c r="E55" s="228"/>
      <c r="F55" s="228"/>
      <c r="G55" s="229"/>
      <c r="M55" s="226"/>
      <c r="N55" s="226"/>
      <c r="O55" s="226"/>
      <c r="P55" s="226"/>
      <c r="Q55" s="226"/>
      <c r="R55" s="226"/>
      <c r="S55" s="226"/>
      <c r="T55" s="226"/>
      <c r="U55" s="229"/>
      <c r="V55" s="229"/>
      <c r="W55" s="229"/>
    </row>
    <row r="56" spans="3:23" ht="14.5" customHeight="1" x14ac:dyDescent="0.2">
      <c r="C56" s="228"/>
      <c r="D56" s="228"/>
      <c r="E56" s="228"/>
      <c r="F56" s="228"/>
      <c r="G56" s="229"/>
      <c r="M56" s="226"/>
      <c r="N56" s="226"/>
      <c r="O56" s="226"/>
      <c r="P56" s="226"/>
      <c r="Q56" s="226"/>
      <c r="R56" s="226"/>
      <c r="S56" s="226"/>
      <c r="T56" s="226"/>
      <c r="U56" s="229"/>
      <c r="V56" s="229"/>
      <c r="W56" s="229"/>
    </row>
    <row r="57" spans="3:23" ht="14.5" customHeight="1" x14ac:dyDescent="0.2">
      <c r="C57" s="228"/>
      <c r="D57" s="228"/>
      <c r="E57" s="228"/>
      <c r="F57" s="228"/>
      <c r="G57" s="229"/>
      <c r="M57" s="226"/>
      <c r="N57" s="226"/>
      <c r="O57" s="226"/>
      <c r="P57" s="226"/>
      <c r="Q57" s="226"/>
      <c r="R57" s="226"/>
      <c r="S57" s="226"/>
      <c r="T57" s="226"/>
      <c r="U57" s="229"/>
      <c r="V57" s="229"/>
      <c r="W57" s="229"/>
    </row>
    <row r="58" spans="3:23" x14ac:dyDescent="0.2">
      <c r="C58" s="228"/>
      <c r="D58" s="228"/>
      <c r="E58" s="228"/>
      <c r="F58" s="228"/>
      <c r="G58" s="229"/>
      <c r="R58" s="229"/>
      <c r="S58" s="229"/>
      <c r="T58" s="229"/>
      <c r="U58" s="229"/>
      <c r="V58" s="229"/>
      <c r="W58" s="229"/>
    </row>
    <row r="59" spans="3:23" x14ac:dyDescent="0.2">
      <c r="C59" s="228"/>
      <c r="D59" s="228"/>
      <c r="E59" s="228"/>
      <c r="F59" s="228"/>
      <c r="G59" s="229"/>
      <c r="R59" s="229"/>
      <c r="S59" s="229"/>
      <c r="T59" s="229"/>
      <c r="U59" s="229"/>
      <c r="V59" s="229"/>
      <c r="W59" s="229"/>
    </row>
    <row r="60" spans="3:23" x14ac:dyDescent="0.2">
      <c r="C60" s="228"/>
      <c r="D60" s="228"/>
      <c r="E60" s="228"/>
      <c r="F60" s="228"/>
      <c r="G60" s="229"/>
      <c r="R60" s="229"/>
      <c r="S60" s="229"/>
      <c r="T60" s="229"/>
      <c r="U60" s="229"/>
      <c r="V60" s="229"/>
      <c r="W60" s="229"/>
    </row>
    <row r="61" spans="3:23" x14ac:dyDescent="0.2">
      <c r="C61" s="228"/>
      <c r="D61" s="228"/>
      <c r="E61" s="228"/>
      <c r="F61" s="228"/>
      <c r="G61" s="229"/>
      <c r="R61" s="229"/>
      <c r="S61" s="229"/>
      <c r="T61" s="229"/>
      <c r="U61" s="229"/>
      <c r="V61" s="229"/>
      <c r="W61" s="229"/>
    </row>
    <row r="62" spans="3:23" s="306" customFormat="1" x14ac:dyDescent="0.2">
      <c r="C62" s="307"/>
      <c r="D62" s="307"/>
      <c r="E62" s="307"/>
      <c r="F62" s="307"/>
      <c r="G62" s="308"/>
      <c r="R62" s="308"/>
      <c r="S62" s="308"/>
      <c r="T62" s="308"/>
      <c r="U62" s="308"/>
      <c r="V62" s="308"/>
      <c r="W62" s="308"/>
    </row>
    <row r="63" spans="3:23" x14ac:dyDescent="0.2">
      <c r="C63" s="228"/>
      <c r="D63" s="228"/>
      <c r="E63" s="228"/>
      <c r="F63" s="228"/>
      <c r="G63" s="229"/>
      <c r="R63" s="229"/>
      <c r="S63" s="229"/>
      <c r="T63" s="229"/>
      <c r="U63" s="229"/>
      <c r="V63" s="229"/>
      <c r="W63" s="229"/>
    </row>
    <row r="64" spans="3:23" x14ac:dyDescent="0.2">
      <c r="C64" s="228"/>
      <c r="D64" s="228"/>
      <c r="E64" s="228"/>
      <c r="F64" s="228"/>
      <c r="G64" s="229"/>
      <c r="R64" s="229"/>
      <c r="S64" s="229"/>
      <c r="T64" s="229"/>
      <c r="U64" s="229"/>
      <c r="V64" s="229"/>
      <c r="W64" s="229"/>
    </row>
    <row r="65" spans="3:36" x14ac:dyDescent="0.2">
      <c r="C65" s="228"/>
      <c r="D65" s="228"/>
      <c r="E65" s="228"/>
      <c r="F65" s="228"/>
      <c r="G65" s="229"/>
      <c r="R65" s="229"/>
      <c r="S65" s="229"/>
      <c r="T65" s="229"/>
      <c r="U65" s="229"/>
      <c r="V65" s="229"/>
      <c r="W65" s="229"/>
      <c r="AA65" s="305" t="s">
        <v>215</v>
      </c>
      <c r="AB65" s="305"/>
      <c r="AC65" s="305"/>
      <c r="AD65" s="305"/>
      <c r="AE65" s="305"/>
      <c r="AF65" s="305"/>
      <c r="AG65" s="305"/>
      <c r="AH65" s="305"/>
      <c r="AI65" s="305"/>
      <c r="AJ65" s="305"/>
    </row>
    <row r="66" spans="3:36" x14ac:dyDescent="0.2">
      <c r="C66" s="228"/>
      <c r="D66" s="228"/>
      <c r="E66" s="228"/>
      <c r="F66" s="228"/>
      <c r="G66" s="229"/>
      <c r="R66" s="229"/>
      <c r="S66" s="229"/>
      <c r="T66" s="229"/>
      <c r="U66" s="229"/>
      <c r="V66" s="229"/>
      <c r="W66" s="229"/>
      <c r="AA66" s="305"/>
      <c r="AB66" s="305"/>
      <c r="AC66" s="305"/>
      <c r="AD66" s="305"/>
      <c r="AE66" s="305"/>
      <c r="AF66" s="305"/>
      <c r="AG66" s="305"/>
      <c r="AH66" s="305"/>
      <c r="AI66" s="305"/>
      <c r="AJ66" s="305"/>
    </row>
    <row r="67" spans="3:36" x14ac:dyDescent="0.2">
      <c r="C67" s="228"/>
      <c r="D67" s="228"/>
      <c r="E67" s="228"/>
      <c r="F67" s="228"/>
      <c r="G67" s="229"/>
      <c r="R67" s="229"/>
      <c r="S67" s="229"/>
      <c r="T67" s="229"/>
      <c r="U67" s="229"/>
      <c r="V67" s="229"/>
      <c r="W67" s="229"/>
      <c r="AA67" s="305"/>
      <c r="AB67" s="305"/>
      <c r="AC67" s="305"/>
      <c r="AD67" s="305"/>
      <c r="AE67" s="305"/>
      <c r="AF67" s="305"/>
      <c r="AG67" s="305"/>
      <c r="AH67" s="305"/>
      <c r="AI67" s="305"/>
      <c r="AJ67" s="305"/>
    </row>
    <row r="68" spans="3:36" x14ac:dyDescent="0.2">
      <c r="C68" s="228"/>
      <c r="D68" s="228"/>
      <c r="E68" s="228"/>
      <c r="F68" s="228"/>
      <c r="G68" s="229"/>
      <c r="R68" s="229"/>
      <c r="S68" s="229"/>
      <c r="T68" s="229"/>
      <c r="U68" s="229"/>
      <c r="V68" s="229"/>
      <c r="W68" s="229"/>
      <c r="AA68" s="305"/>
      <c r="AB68" s="305"/>
      <c r="AC68" s="305"/>
      <c r="AD68" s="305"/>
      <c r="AE68" s="305"/>
      <c r="AF68" s="305"/>
      <c r="AG68" s="305"/>
      <c r="AH68" s="305"/>
      <c r="AI68" s="305"/>
      <c r="AJ68" s="305"/>
    </row>
    <row r="69" spans="3:36" x14ac:dyDescent="0.2">
      <c r="C69" s="228"/>
      <c r="D69" s="228"/>
      <c r="E69" s="228"/>
      <c r="F69" s="228"/>
      <c r="G69" s="229"/>
      <c r="R69" s="229"/>
      <c r="S69" s="229"/>
      <c r="T69" s="229"/>
      <c r="U69" s="229"/>
      <c r="V69" s="229"/>
      <c r="W69" s="229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</row>
    <row r="70" spans="3:36" x14ac:dyDescent="0.2">
      <c r="C70" s="228"/>
      <c r="D70" s="228"/>
      <c r="E70" s="228"/>
      <c r="F70" s="228"/>
      <c r="G70" s="229"/>
      <c r="R70" s="229"/>
      <c r="S70" s="229"/>
      <c r="T70" s="229"/>
      <c r="U70" s="229"/>
      <c r="V70" s="229"/>
      <c r="W70" s="229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</row>
    <row r="71" spans="3:36" x14ac:dyDescent="0.2">
      <c r="C71" s="228"/>
      <c r="D71" s="228"/>
      <c r="E71" s="228"/>
      <c r="F71" s="228"/>
      <c r="G71" s="229"/>
      <c r="R71" s="229"/>
      <c r="S71" s="229"/>
      <c r="T71" s="229"/>
      <c r="U71" s="229"/>
      <c r="V71" s="229"/>
      <c r="W71" s="229"/>
      <c r="AA71" s="305"/>
      <c r="AB71" s="305"/>
      <c r="AC71" s="305"/>
      <c r="AD71" s="305"/>
      <c r="AE71" s="305"/>
      <c r="AF71" s="305"/>
      <c r="AG71" s="305"/>
      <c r="AH71" s="305"/>
      <c r="AI71" s="305"/>
      <c r="AJ71" s="305"/>
    </row>
    <row r="72" spans="3:36" x14ac:dyDescent="0.2">
      <c r="C72" s="228"/>
      <c r="D72" s="228"/>
      <c r="E72" s="228"/>
      <c r="F72" s="228"/>
      <c r="G72" s="229"/>
      <c r="R72" s="229"/>
      <c r="S72" s="229"/>
      <c r="T72" s="229"/>
      <c r="U72" s="229"/>
      <c r="V72" s="229"/>
      <c r="W72" s="229"/>
      <c r="AA72" s="305"/>
      <c r="AB72" s="305"/>
      <c r="AC72" s="305"/>
      <c r="AD72" s="305"/>
      <c r="AE72" s="305"/>
      <c r="AF72" s="305"/>
      <c r="AG72" s="305"/>
      <c r="AH72" s="305"/>
      <c r="AI72" s="305"/>
      <c r="AJ72" s="305"/>
    </row>
    <row r="73" spans="3:36" x14ac:dyDescent="0.2">
      <c r="C73" s="228"/>
      <c r="D73" s="228"/>
      <c r="E73" s="228"/>
      <c r="F73" s="228"/>
      <c r="G73" s="229"/>
      <c r="R73" s="229"/>
      <c r="S73" s="229"/>
      <c r="T73" s="229"/>
      <c r="U73" s="229"/>
      <c r="V73" s="229"/>
      <c r="W73" s="229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</row>
    <row r="74" spans="3:36" x14ac:dyDescent="0.2">
      <c r="C74" s="228"/>
      <c r="D74" s="228"/>
      <c r="E74" s="228"/>
      <c r="F74" s="228"/>
      <c r="G74" s="229"/>
      <c r="R74" s="229"/>
      <c r="S74" s="229"/>
      <c r="T74" s="229"/>
      <c r="U74" s="229"/>
      <c r="V74" s="229"/>
      <c r="W74" s="229"/>
    </row>
    <row r="75" spans="3:36" x14ac:dyDescent="0.2">
      <c r="C75" s="228"/>
      <c r="D75" s="228"/>
      <c r="E75" s="228"/>
      <c r="F75" s="228"/>
      <c r="G75" s="229"/>
      <c r="R75" s="229"/>
      <c r="S75" s="229"/>
      <c r="T75" s="229"/>
      <c r="U75" s="229"/>
      <c r="V75" s="229"/>
      <c r="W75" s="229"/>
    </row>
    <row r="76" spans="3:36" x14ac:dyDescent="0.2">
      <c r="C76" s="228"/>
      <c r="D76" s="228"/>
      <c r="E76" s="228"/>
      <c r="F76" s="228"/>
      <c r="G76" s="229"/>
      <c r="R76" s="229"/>
      <c r="S76" s="229"/>
      <c r="T76" s="229"/>
      <c r="U76" s="229"/>
      <c r="V76" s="229"/>
      <c r="W76" s="229"/>
    </row>
    <row r="77" spans="3:36" x14ac:dyDescent="0.2">
      <c r="C77" s="228"/>
      <c r="D77" s="228"/>
      <c r="E77" s="228"/>
      <c r="F77" s="228"/>
      <c r="G77" s="229"/>
      <c r="R77" s="229"/>
      <c r="S77" s="229"/>
      <c r="T77" s="229"/>
      <c r="U77" s="229"/>
      <c r="V77" s="229"/>
      <c r="W77" s="229"/>
    </row>
    <row r="78" spans="3:36" x14ac:dyDescent="0.2">
      <c r="C78" s="228"/>
      <c r="D78" s="228"/>
      <c r="E78" s="228"/>
      <c r="F78" s="228"/>
      <c r="G78" s="229"/>
      <c r="R78" s="229"/>
      <c r="S78" s="229"/>
      <c r="T78" s="229"/>
      <c r="U78" s="229"/>
      <c r="V78" s="229"/>
      <c r="W78" s="229"/>
    </row>
    <row r="79" spans="3:36" x14ac:dyDescent="0.2">
      <c r="C79" s="228"/>
      <c r="D79" s="228"/>
      <c r="E79" s="228"/>
      <c r="F79" s="228"/>
      <c r="G79" s="229"/>
      <c r="R79" s="229"/>
      <c r="S79" s="229"/>
      <c r="T79" s="229"/>
      <c r="U79" s="229"/>
      <c r="V79" s="229"/>
      <c r="W79" s="229"/>
    </row>
    <row r="80" spans="3:36" x14ac:dyDescent="0.2">
      <c r="C80" s="228"/>
      <c r="D80" s="228"/>
      <c r="E80" s="228"/>
      <c r="F80" s="228"/>
      <c r="G80" s="229"/>
      <c r="R80" s="229"/>
      <c r="S80" s="229"/>
      <c r="T80" s="229"/>
      <c r="U80" s="229"/>
      <c r="V80" s="229"/>
      <c r="W80" s="229"/>
    </row>
    <row r="81" spans="26:31" x14ac:dyDescent="0.2">
      <c r="Z81" s="229"/>
      <c r="AA81" s="229"/>
      <c r="AB81" s="229"/>
      <c r="AC81" s="229"/>
      <c r="AD81" s="229"/>
      <c r="AE81" s="229"/>
    </row>
    <row r="109" spans="1:22" x14ac:dyDescent="0.2">
      <c r="A109" s="223"/>
      <c r="B109" s="223"/>
      <c r="C109" s="223"/>
      <c r="D109" s="223"/>
      <c r="E109" s="223"/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</row>
    <row r="110" spans="1:22" x14ac:dyDescent="0.2">
      <c r="A110" s="223"/>
      <c r="B110" s="223"/>
      <c r="C110" s="223"/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</row>
    <row r="111" spans="1:22" x14ac:dyDescent="0.2">
      <c r="A111" s="223"/>
      <c r="B111" s="223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</row>
    <row r="112" spans="1:22" x14ac:dyDescent="0.2">
      <c r="A112" s="223"/>
      <c r="B112" s="223"/>
      <c r="C112" s="223"/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</row>
    <row r="113" spans="1:22" x14ac:dyDescent="0.2">
      <c r="A113" s="223"/>
      <c r="B113" s="223"/>
      <c r="C113" s="223"/>
      <c r="D113" s="223"/>
      <c r="E113" s="223"/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</row>
    <row r="114" spans="1:22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</row>
    <row r="115" spans="1:22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</row>
    <row r="116" spans="1:22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</row>
    <row r="117" spans="1:22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</row>
    <row r="118" spans="1:22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</row>
    <row r="119" spans="1:22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</row>
    <row r="120" spans="1:22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</row>
    <row r="121" spans="1:22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</row>
    <row r="122" spans="1:22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</row>
    <row r="123" spans="1:22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</row>
    <row r="124" spans="1:22" x14ac:dyDescent="0.2">
      <c r="A124" s="223"/>
      <c r="B124" s="223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</row>
    <row r="125" spans="1:22" x14ac:dyDescent="0.2">
      <c r="A125" s="223"/>
      <c r="B125" s="223"/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</row>
    <row r="126" spans="1:22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</row>
    <row r="127" spans="1:22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</row>
    <row r="128" spans="1:22" x14ac:dyDescent="0.2">
      <c r="A128" s="223"/>
      <c r="B128" s="223"/>
      <c r="C128" s="223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</row>
    <row r="129" spans="1:22" x14ac:dyDescent="0.2">
      <c r="A129" s="223"/>
      <c r="B129" s="223"/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</row>
    <row r="130" spans="1:22" x14ac:dyDescent="0.2">
      <c r="A130" s="223"/>
      <c r="B130" s="223"/>
      <c r="C130" s="223"/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</row>
    <row r="131" spans="1:22" x14ac:dyDescent="0.2">
      <c r="A131" s="223"/>
      <c r="B131" s="223"/>
      <c r="C131" s="223"/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</row>
    <row r="132" spans="1:22" x14ac:dyDescent="0.2">
      <c r="A132" s="223"/>
      <c r="B132" s="223"/>
      <c r="C132" s="223"/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3"/>
      <c r="S132" s="223"/>
      <c r="T132" s="223"/>
      <c r="U132" s="223"/>
      <c r="V132" s="223"/>
    </row>
    <row r="133" spans="1:22" x14ac:dyDescent="0.2">
      <c r="A133" s="223"/>
      <c r="B133" s="223"/>
      <c r="C133" s="223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</row>
    <row r="134" spans="1:22" x14ac:dyDescent="0.2">
      <c r="A134" s="223"/>
      <c r="B134" s="223"/>
      <c r="C134" s="223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</row>
    <row r="135" spans="1:22" x14ac:dyDescent="0.2">
      <c r="A135" s="223"/>
      <c r="B135" s="223"/>
      <c r="C135" s="223"/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</row>
    <row r="136" spans="1:22" x14ac:dyDescent="0.2">
      <c r="A136" s="223"/>
      <c r="B136" s="223"/>
      <c r="C136" s="223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</row>
    <row r="137" spans="1:22" x14ac:dyDescent="0.2">
      <c r="A137" s="223"/>
      <c r="B137" s="223"/>
      <c r="C137" s="223"/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</row>
    <row r="138" spans="1:22" x14ac:dyDescent="0.2">
      <c r="A138" s="223"/>
      <c r="B138" s="223"/>
      <c r="C138" s="223"/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</row>
    <row r="139" spans="1:22" x14ac:dyDescent="0.2">
      <c r="A139" s="223"/>
      <c r="B139" s="223"/>
      <c r="C139" s="223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</row>
    <row r="140" spans="1:22" x14ac:dyDescent="0.2">
      <c r="A140" s="223"/>
      <c r="B140" s="223"/>
      <c r="C140" s="223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</row>
    <row r="141" spans="1:22" x14ac:dyDescent="0.2">
      <c r="A141" s="223"/>
      <c r="B141" s="223"/>
      <c r="C141" s="223"/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</row>
    <row r="142" spans="1:22" x14ac:dyDescent="0.2">
      <c r="A142" s="223"/>
      <c r="B142" s="223"/>
      <c r="C142" s="223"/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</row>
    <row r="143" spans="1:22" x14ac:dyDescent="0.2">
      <c r="A143" s="223"/>
      <c r="B143" s="223"/>
      <c r="C143" s="223"/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</row>
    <row r="144" spans="1:22" x14ac:dyDescent="0.2">
      <c r="A144" s="223"/>
      <c r="B144" s="223"/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</row>
    <row r="145" spans="1:22" x14ac:dyDescent="0.2">
      <c r="A145" s="223"/>
      <c r="B145" s="223"/>
      <c r="C145" s="223"/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</row>
    <row r="146" spans="1:22" x14ac:dyDescent="0.2">
      <c r="A146" s="223"/>
      <c r="B146" s="223"/>
      <c r="C146" s="223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</row>
    <row r="147" spans="1:22" x14ac:dyDescent="0.2">
      <c r="A147" s="223"/>
      <c r="B147" s="223"/>
      <c r="C147" s="223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</row>
    <row r="148" spans="1:22" x14ac:dyDescent="0.2">
      <c r="A148" s="223"/>
      <c r="B148" s="223"/>
      <c r="C148" s="223"/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</row>
    <row r="149" spans="1:22" x14ac:dyDescent="0.2">
      <c r="A149" s="223"/>
      <c r="B149" s="223"/>
      <c r="C149" s="223"/>
      <c r="D149" s="223"/>
      <c r="E149" s="223"/>
      <c r="F149" s="223"/>
      <c r="G149" s="223"/>
      <c r="H149" s="223"/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</row>
    <row r="150" spans="1:22" x14ac:dyDescent="0.2">
      <c r="A150" s="223"/>
      <c r="B150" s="223"/>
      <c r="C150" s="223"/>
      <c r="D150" s="223"/>
      <c r="E150" s="223"/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</row>
    <row r="151" spans="1:22" x14ac:dyDescent="0.2">
      <c r="A151" s="223"/>
      <c r="B151" s="223"/>
      <c r="C151" s="223"/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</row>
    <row r="152" spans="1:22" x14ac:dyDescent="0.2">
      <c r="A152" s="223"/>
      <c r="B152" s="223"/>
      <c r="C152" s="223"/>
      <c r="D152" s="223"/>
      <c r="E152" s="223"/>
      <c r="F152" s="223"/>
      <c r="G152" s="223"/>
      <c r="H152" s="223"/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</row>
    <row r="153" spans="1:22" x14ac:dyDescent="0.2">
      <c r="A153" s="223"/>
      <c r="B153" s="223"/>
      <c r="C153" s="223"/>
      <c r="D153" s="223"/>
      <c r="E153" s="223"/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</row>
    <row r="154" spans="1:22" x14ac:dyDescent="0.2">
      <c r="A154" s="223"/>
      <c r="B154" s="223"/>
      <c r="C154" s="223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23"/>
      <c r="U154" s="223"/>
      <c r="V154" s="223"/>
    </row>
    <row r="155" spans="1:22" x14ac:dyDescent="0.2">
      <c r="A155" s="223"/>
      <c r="B155" s="223"/>
      <c r="C155" s="223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</row>
    <row r="156" spans="1:22" x14ac:dyDescent="0.2">
      <c r="A156" s="223"/>
      <c r="B156" s="223"/>
      <c r="C156" s="223"/>
      <c r="D156" s="223"/>
      <c r="E156" s="223"/>
      <c r="F156" s="223"/>
      <c r="G156" s="223"/>
      <c r="H156" s="223"/>
      <c r="I156" s="223"/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</row>
    <row r="157" spans="1:22" x14ac:dyDescent="0.2">
      <c r="A157" s="223"/>
      <c r="B157" s="223"/>
      <c r="C157" s="223"/>
      <c r="D157" s="223"/>
      <c r="E157" s="223"/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</row>
    <row r="158" spans="1:22" x14ac:dyDescent="0.2">
      <c r="A158" s="223"/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</row>
    <row r="159" spans="1:22" x14ac:dyDescent="0.2">
      <c r="A159" s="223"/>
      <c r="B159" s="223"/>
      <c r="C159" s="223"/>
      <c r="D159" s="223"/>
      <c r="E159" s="223"/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</row>
    <row r="160" spans="1:22" x14ac:dyDescent="0.2">
      <c r="A160" s="223"/>
      <c r="B160" s="223"/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</row>
    <row r="161" spans="1:22" x14ac:dyDescent="0.2">
      <c r="A161" s="223"/>
      <c r="B161" s="223"/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</row>
    <row r="162" spans="1:22" x14ac:dyDescent="0.2">
      <c r="A162" s="223"/>
      <c r="B162" s="223"/>
      <c r="C162" s="223"/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</row>
    <row r="163" spans="1:22" x14ac:dyDescent="0.2">
      <c r="A163" s="223"/>
      <c r="B163" s="223"/>
      <c r="C163" s="223"/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</row>
    <row r="164" spans="1:22" x14ac:dyDescent="0.2">
      <c r="A164" s="223"/>
      <c r="B164" s="223"/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</row>
    <row r="165" spans="1:22" x14ac:dyDescent="0.2">
      <c r="A165" s="223"/>
      <c r="B165" s="223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</row>
    <row r="166" spans="1:22" x14ac:dyDescent="0.2">
      <c r="A166" s="223"/>
      <c r="B166" s="223"/>
      <c r="C166" s="223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</row>
    <row r="167" spans="1:22" x14ac:dyDescent="0.2">
      <c r="A167" s="223"/>
      <c r="B167" s="223"/>
      <c r="C167" s="223"/>
      <c r="D167" s="223"/>
      <c r="E167" s="223"/>
      <c r="F167" s="223"/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</row>
    <row r="168" spans="1:22" x14ac:dyDescent="0.2">
      <c r="A168" s="223"/>
      <c r="B168" s="223"/>
      <c r="C168" s="223"/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</row>
    <row r="169" spans="1:22" x14ac:dyDescent="0.2">
      <c r="A169" s="223"/>
      <c r="B169" s="223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</row>
    <row r="170" spans="1:22" x14ac:dyDescent="0.2">
      <c r="A170" s="223"/>
      <c r="B170" s="223"/>
      <c r="C170" s="223"/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</row>
    <row r="171" spans="1:22" x14ac:dyDescent="0.2">
      <c r="A171" s="223"/>
      <c r="B171" s="223"/>
      <c r="C171" s="223"/>
      <c r="D171" s="223"/>
      <c r="E171" s="223"/>
      <c r="F171" s="223"/>
      <c r="G171" s="223"/>
      <c r="H171" s="223"/>
      <c r="I171" s="223"/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</row>
    <row r="172" spans="1:22" x14ac:dyDescent="0.2">
      <c r="A172" s="223"/>
      <c r="B172" s="223"/>
      <c r="C172" s="223"/>
      <c r="D172" s="223"/>
      <c r="E172" s="22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</row>
    <row r="173" spans="1:22" x14ac:dyDescent="0.2">
      <c r="A173" s="223"/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</row>
    <row r="174" spans="1:22" x14ac:dyDescent="0.2">
      <c r="A174" s="223"/>
      <c r="B174" s="223"/>
      <c r="C174" s="223"/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</row>
    <row r="175" spans="1:22" x14ac:dyDescent="0.2">
      <c r="A175" s="223"/>
      <c r="B175" s="223"/>
      <c r="C175" s="223"/>
      <c r="D175" s="223"/>
      <c r="E175" s="223"/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</row>
    <row r="176" spans="1:22" x14ac:dyDescent="0.2">
      <c r="A176" s="223"/>
      <c r="B176" s="223"/>
      <c r="C176" s="223"/>
      <c r="D176" s="223"/>
      <c r="E176" s="223"/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</row>
    <row r="177" spans="1:22" x14ac:dyDescent="0.2">
      <c r="A177" s="223"/>
      <c r="B177" s="223"/>
      <c r="C177" s="223"/>
      <c r="D177" s="223"/>
      <c r="E177" s="223"/>
      <c r="F177" s="223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23"/>
      <c r="U177" s="223"/>
      <c r="V177" s="223"/>
    </row>
    <row r="178" spans="1:22" x14ac:dyDescent="0.2">
      <c r="A178" s="223"/>
      <c r="B178" s="223"/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</row>
    <row r="179" spans="1:22" x14ac:dyDescent="0.2">
      <c r="A179" s="223"/>
      <c r="B179" s="223"/>
      <c r="C179" s="223"/>
      <c r="D179" s="223"/>
      <c r="E179" s="223"/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</row>
    <row r="180" spans="1:22" x14ac:dyDescent="0.2">
      <c r="A180" s="223"/>
      <c r="B180" s="223"/>
      <c r="C180" s="223"/>
      <c r="D180" s="223"/>
      <c r="E180" s="223"/>
      <c r="F180" s="223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</row>
    <row r="181" spans="1:22" x14ac:dyDescent="0.2">
      <c r="A181" s="223"/>
      <c r="B181" s="223"/>
      <c r="C181" s="223"/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</row>
    <row r="182" spans="1:22" x14ac:dyDescent="0.2">
      <c r="A182" s="223"/>
      <c r="B182" s="223"/>
      <c r="C182" s="223"/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</row>
    <row r="183" spans="1:22" x14ac:dyDescent="0.2">
      <c r="A183" s="223"/>
      <c r="B183" s="223"/>
      <c r="C183" s="223"/>
      <c r="D183" s="223"/>
      <c r="E183" s="223"/>
      <c r="F183" s="223"/>
      <c r="G183" s="223"/>
      <c r="H183" s="223"/>
      <c r="I183" s="223"/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</row>
    <row r="184" spans="1:22" x14ac:dyDescent="0.2">
      <c r="A184" s="223"/>
      <c r="B184" s="223"/>
      <c r="C184" s="223"/>
      <c r="D184" s="223"/>
      <c r="E184" s="223"/>
      <c r="F184" s="223"/>
      <c r="G184" s="223"/>
      <c r="H184" s="223"/>
      <c r="I184" s="223"/>
      <c r="J184" s="223"/>
      <c r="K184" s="223"/>
      <c r="L184" s="223"/>
      <c r="M184" s="223"/>
      <c r="N184" s="223"/>
      <c r="O184" s="223"/>
      <c r="P184" s="223"/>
      <c r="Q184" s="223"/>
      <c r="R184" s="223"/>
      <c r="S184" s="223"/>
      <c r="T184" s="223"/>
      <c r="U184" s="223"/>
      <c r="V184" s="223"/>
    </row>
    <row r="185" spans="1:22" x14ac:dyDescent="0.2">
      <c r="A185" s="223"/>
      <c r="B185" s="223"/>
      <c r="C185" s="223"/>
      <c r="D185" s="223"/>
      <c r="E185" s="223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</row>
    <row r="186" spans="1:22" x14ac:dyDescent="0.2">
      <c r="A186" s="223"/>
      <c r="B186" s="223"/>
      <c r="C186" s="223"/>
      <c r="D186" s="223"/>
      <c r="E186" s="223"/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</row>
    <row r="187" spans="1:22" x14ac:dyDescent="0.2">
      <c r="A187" s="223"/>
      <c r="B187" s="223"/>
      <c r="C187" s="223"/>
      <c r="D187" s="223"/>
      <c r="E187" s="223"/>
      <c r="F187" s="223"/>
      <c r="G187" s="223"/>
      <c r="H187" s="223"/>
      <c r="I187" s="223"/>
      <c r="J187" s="223"/>
      <c r="K187" s="223"/>
      <c r="L187" s="223"/>
      <c r="M187" s="223"/>
      <c r="N187" s="223"/>
      <c r="O187" s="223"/>
      <c r="P187" s="223"/>
      <c r="Q187" s="223"/>
      <c r="R187" s="223"/>
      <c r="S187" s="223"/>
      <c r="T187" s="223"/>
      <c r="U187" s="223"/>
      <c r="V187" s="223"/>
    </row>
    <row r="188" spans="1:22" x14ac:dyDescent="0.2">
      <c r="A188" s="223"/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  <c r="L188" s="223"/>
      <c r="M188" s="223"/>
      <c r="N188" s="223"/>
      <c r="O188" s="223"/>
      <c r="P188" s="223"/>
      <c r="Q188" s="223"/>
      <c r="R188" s="223"/>
      <c r="S188" s="223"/>
      <c r="T188" s="223"/>
      <c r="U188" s="223"/>
      <c r="V188" s="223"/>
    </row>
    <row r="189" spans="1:22" x14ac:dyDescent="0.2">
      <c r="A189" s="223"/>
      <c r="B189" s="223"/>
      <c r="C189" s="223"/>
      <c r="D189" s="223"/>
      <c r="E189" s="223"/>
      <c r="F189" s="223"/>
      <c r="G189" s="223"/>
      <c r="H189" s="223"/>
      <c r="I189" s="223"/>
      <c r="J189" s="223"/>
      <c r="K189" s="223"/>
      <c r="L189" s="223"/>
      <c r="M189" s="223"/>
      <c r="N189" s="223"/>
      <c r="O189" s="223"/>
      <c r="P189" s="223"/>
      <c r="Q189" s="223"/>
      <c r="R189" s="223"/>
      <c r="S189" s="223"/>
      <c r="T189" s="223"/>
      <c r="U189" s="223"/>
      <c r="V189" s="223"/>
    </row>
    <row r="190" spans="1:22" x14ac:dyDescent="0.2">
      <c r="A190" s="223"/>
      <c r="B190" s="223"/>
      <c r="C190" s="223"/>
      <c r="D190" s="223"/>
      <c r="E190" s="223"/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</row>
    <row r="191" spans="1:22" x14ac:dyDescent="0.2">
      <c r="A191" s="223"/>
      <c r="B191" s="223"/>
      <c r="C191" s="223"/>
      <c r="D191" s="223"/>
      <c r="E191" s="223"/>
      <c r="F191" s="223"/>
      <c r="G191" s="223"/>
      <c r="H191" s="223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</row>
    <row r="192" spans="1:22" x14ac:dyDescent="0.2">
      <c r="A192" s="223"/>
      <c r="B192" s="223"/>
      <c r="C192" s="223"/>
      <c r="D192" s="223"/>
      <c r="E192" s="223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</row>
    <row r="193" spans="1:22" x14ac:dyDescent="0.2">
      <c r="A193" s="223"/>
      <c r="B193" s="223"/>
      <c r="C193" s="223"/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</row>
    <row r="194" spans="1:22" x14ac:dyDescent="0.2">
      <c r="A194" s="223"/>
      <c r="B194" s="223"/>
      <c r="C194" s="223"/>
      <c r="D194" s="223"/>
      <c r="E194" s="223"/>
      <c r="F194" s="223"/>
      <c r="G194" s="223"/>
      <c r="H194" s="223"/>
      <c r="I194" s="223"/>
      <c r="J194" s="223"/>
      <c r="K194" s="223"/>
      <c r="L194" s="223"/>
      <c r="M194" s="223"/>
      <c r="N194" s="223"/>
      <c r="O194" s="223"/>
      <c r="P194" s="223"/>
      <c r="Q194" s="223"/>
      <c r="R194" s="223"/>
      <c r="S194" s="223"/>
      <c r="T194" s="223"/>
      <c r="U194" s="223"/>
      <c r="V194" s="223"/>
    </row>
    <row r="195" spans="1:22" x14ac:dyDescent="0.2">
      <c r="A195" s="223"/>
      <c r="B195" s="223"/>
      <c r="C195" s="223"/>
      <c r="D195" s="223"/>
      <c r="E195" s="223"/>
      <c r="F195" s="223"/>
      <c r="G195" s="223"/>
      <c r="H195" s="223"/>
      <c r="I195" s="223"/>
      <c r="J195" s="223"/>
      <c r="K195" s="223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3"/>
    </row>
    <row r="196" spans="1:22" x14ac:dyDescent="0.2">
      <c r="A196" s="223"/>
      <c r="B196" s="223"/>
      <c r="C196" s="223"/>
      <c r="D196" s="223"/>
      <c r="E196" s="223"/>
      <c r="F196" s="223"/>
      <c r="G196" s="223"/>
      <c r="H196" s="223"/>
      <c r="I196" s="223"/>
      <c r="J196" s="223"/>
      <c r="K196" s="223"/>
      <c r="L196" s="223"/>
      <c r="M196" s="223"/>
      <c r="N196" s="223"/>
      <c r="O196" s="223"/>
      <c r="P196" s="223"/>
      <c r="Q196" s="223"/>
      <c r="R196" s="223"/>
      <c r="S196" s="223"/>
      <c r="T196" s="223"/>
      <c r="U196" s="223"/>
      <c r="V196" s="223"/>
    </row>
    <row r="197" spans="1:22" x14ac:dyDescent="0.2">
      <c r="A197" s="223"/>
      <c r="B197" s="223"/>
      <c r="C197" s="223"/>
      <c r="D197" s="223"/>
      <c r="E197" s="223"/>
      <c r="F197" s="223"/>
      <c r="G197" s="223"/>
      <c r="H197" s="223"/>
      <c r="I197" s="223"/>
      <c r="J197" s="223"/>
      <c r="K197" s="223"/>
      <c r="L197" s="223"/>
      <c r="M197" s="223"/>
      <c r="N197" s="223"/>
      <c r="O197" s="223"/>
      <c r="P197" s="223"/>
      <c r="Q197" s="223"/>
      <c r="R197" s="223"/>
      <c r="S197" s="223"/>
      <c r="T197" s="223"/>
      <c r="U197" s="223"/>
      <c r="V197" s="223"/>
    </row>
    <row r="198" spans="1:22" x14ac:dyDescent="0.2">
      <c r="A198" s="223"/>
      <c r="B198" s="223"/>
      <c r="C198" s="223"/>
      <c r="D198" s="223"/>
      <c r="E198" s="223"/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23"/>
      <c r="U198" s="223"/>
      <c r="V198" s="223"/>
    </row>
    <row r="199" spans="1:22" x14ac:dyDescent="0.2">
      <c r="A199" s="223"/>
      <c r="B199" s="223"/>
      <c r="C199" s="223"/>
      <c r="D199" s="223"/>
      <c r="E199" s="223"/>
      <c r="F199" s="223"/>
      <c r="G199" s="223"/>
      <c r="H199" s="223"/>
      <c r="I199" s="223"/>
      <c r="J199" s="223"/>
      <c r="K199" s="223"/>
      <c r="L199" s="223"/>
      <c r="M199" s="223"/>
      <c r="N199" s="223"/>
      <c r="O199" s="223"/>
      <c r="P199" s="223"/>
      <c r="Q199" s="223"/>
      <c r="R199" s="223"/>
      <c r="S199" s="223"/>
      <c r="T199" s="223"/>
      <c r="U199" s="223"/>
      <c r="V199" s="223"/>
    </row>
    <row r="200" spans="1:22" x14ac:dyDescent="0.2">
      <c r="A200" s="223"/>
      <c r="B200" s="223"/>
      <c r="C200" s="223"/>
      <c r="D200" s="223"/>
      <c r="E200" s="223"/>
      <c r="F200" s="223"/>
      <c r="G200" s="223"/>
      <c r="H200" s="223"/>
      <c r="I200" s="223"/>
      <c r="J200" s="223"/>
      <c r="K200" s="223"/>
      <c r="L200" s="223"/>
      <c r="M200" s="223"/>
      <c r="N200" s="223"/>
      <c r="O200" s="223"/>
      <c r="P200" s="223"/>
      <c r="Q200" s="223"/>
      <c r="R200" s="223"/>
      <c r="S200" s="223"/>
      <c r="T200" s="223"/>
      <c r="U200" s="223"/>
      <c r="V200" s="223"/>
    </row>
    <row r="201" spans="1:22" x14ac:dyDescent="0.2">
      <c r="A201" s="223"/>
      <c r="B201" s="223"/>
      <c r="C201" s="223"/>
      <c r="D201" s="223"/>
      <c r="E201" s="223"/>
      <c r="F201" s="223"/>
      <c r="G201" s="223"/>
      <c r="H201" s="223"/>
      <c r="I201" s="223"/>
      <c r="J201" s="223"/>
      <c r="K201" s="223"/>
      <c r="L201" s="223"/>
      <c r="M201" s="223"/>
      <c r="N201" s="223"/>
      <c r="O201" s="223"/>
      <c r="P201" s="223"/>
      <c r="Q201" s="223"/>
      <c r="R201" s="223"/>
      <c r="S201" s="223"/>
      <c r="T201" s="223"/>
      <c r="U201" s="223"/>
      <c r="V201" s="223"/>
    </row>
    <row r="202" spans="1:22" x14ac:dyDescent="0.2">
      <c r="A202" s="223"/>
      <c r="B202" s="223"/>
      <c r="C202" s="223"/>
      <c r="D202" s="223"/>
      <c r="E202" s="223"/>
      <c r="F202" s="223"/>
      <c r="G202" s="223"/>
      <c r="H202" s="223"/>
      <c r="I202" s="223"/>
      <c r="J202" s="223"/>
      <c r="K202" s="223"/>
      <c r="L202" s="223"/>
      <c r="M202" s="223"/>
      <c r="N202" s="223"/>
      <c r="O202" s="223"/>
      <c r="P202" s="223"/>
      <c r="Q202" s="223"/>
      <c r="R202" s="223"/>
      <c r="S202" s="223"/>
      <c r="T202" s="223"/>
      <c r="U202" s="223"/>
      <c r="V202" s="223"/>
    </row>
    <row r="203" spans="1:22" x14ac:dyDescent="0.2">
      <c r="A203" s="223"/>
      <c r="B203" s="223"/>
      <c r="C203" s="223"/>
      <c r="D203" s="223"/>
      <c r="E203" s="223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3"/>
      <c r="Q203" s="223"/>
      <c r="R203" s="223"/>
      <c r="S203" s="223"/>
      <c r="T203" s="223"/>
      <c r="U203" s="223"/>
      <c r="V203" s="223"/>
    </row>
    <row r="204" spans="1:22" x14ac:dyDescent="0.2">
      <c r="A204" s="223"/>
      <c r="B204" s="223"/>
      <c r="C204" s="223"/>
      <c r="D204" s="223"/>
      <c r="E204" s="223"/>
      <c r="F204" s="223"/>
      <c r="G204" s="223"/>
      <c r="H204" s="223"/>
      <c r="I204" s="223"/>
      <c r="J204" s="223"/>
      <c r="K204" s="223"/>
      <c r="L204" s="223"/>
      <c r="M204" s="223"/>
      <c r="N204" s="223"/>
      <c r="O204" s="223"/>
      <c r="P204" s="223"/>
      <c r="Q204" s="223"/>
      <c r="R204" s="223"/>
      <c r="S204" s="223"/>
      <c r="T204" s="223"/>
      <c r="U204" s="223"/>
      <c r="V204" s="223"/>
    </row>
    <row r="205" spans="1:22" x14ac:dyDescent="0.2">
      <c r="A205" s="223"/>
      <c r="B205" s="223"/>
      <c r="C205" s="223"/>
      <c r="D205" s="223"/>
      <c r="E205" s="223"/>
      <c r="F205" s="223"/>
      <c r="G205" s="223"/>
      <c r="H205" s="223"/>
      <c r="I205" s="223"/>
      <c r="J205" s="223"/>
      <c r="K205" s="223"/>
      <c r="L205" s="223"/>
      <c r="M205" s="223"/>
      <c r="N205" s="223"/>
      <c r="O205" s="223"/>
      <c r="P205" s="223"/>
      <c r="Q205" s="223"/>
      <c r="R205" s="223"/>
      <c r="S205" s="223"/>
      <c r="T205" s="223"/>
      <c r="U205" s="223"/>
      <c r="V205" s="223"/>
    </row>
    <row r="206" spans="1:22" x14ac:dyDescent="0.2">
      <c r="A206" s="223"/>
      <c r="B206" s="223"/>
      <c r="C206" s="223"/>
      <c r="D206" s="223"/>
      <c r="E206" s="223"/>
      <c r="F206" s="223"/>
      <c r="G206" s="223"/>
      <c r="H206" s="223"/>
      <c r="I206" s="223"/>
      <c r="J206" s="223"/>
      <c r="K206" s="223"/>
      <c r="L206" s="223"/>
      <c r="M206" s="223"/>
      <c r="N206" s="223"/>
      <c r="O206" s="223"/>
      <c r="P206" s="223"/>
      <c r="Q206" s="223"/>
      <c r="R206" s="223"/>
      <c r="S206" s="223"/>
      <c r="T206" s="223"/>
      <c r="U206" s="223"/>
      <c r="V206" s="223"/>
    </row>
    <row r="207" spans="1:22" x14ac:dyDescent="0.2">
      <c r="A207" s="223"/>
      <c r="B207" s="223"/>
      <c r="C207" s="223"/>
      <c r="D207" s="223"/>
      <c r="E207" s="223"/>
      <c r="F207" s="223"/>
      <c r="G207" s="223"/>
      <c r="H207" s="223"/>
      <c r="I207" s="223"/>
      <c r="J207" s="223"/>
      <c r="K207" s="223"/>
      <c r="L207" s="223"/>
      <c r="M207" s="223"/>
      <c r="N207" s="223"/>
      <c r="O207" s="223"/>
      <c r="P207" s="223"/>
      <c r="Q207" s="223"/>
      <c r="R207" s="223"/>
      <c r="S207" s="223"/>
      <c r="T207" s="223"/>
      <c r="U207" s="223"/>
      <c r="V207" s="223"/>
    </row>
    <row r="208" spans="1:22" x14ac:dyDescent="0.2">
      <c r="A208" s="223"/>
      <c r="B208" s="223"/>
      <c r="C208" s="223"/>
      <c r="D208" s="223"/>
      <c r="E208" s="223"/>
      <c r="F208" s="223"/>
      <c r="G208" s="223"/>
      <c r="H208" s="223"/>
      <c r="I208" s="223"/>
      <c r="J208" s="223"/>
      <c r="K208" s="223"/>
      <c r="L208" s="223"/>
      <c r="M208" s="223"/>
      <c r="N208" s="223"/>
      <c r="O208" s="223"/>
      <c r="P208" s="223"/>
      <c r="Q208" s="223"/>
      <c r="R208" s="223"/>
      <c r="S208" s="223"/>
      <c r="T208" s="223"/>
      <c r="U208" s="223"/>
      <c r="V208" s="223"/>
    </row>
    <row r="209" spans="1:22" x14ac:dyDescent="0.2">
      <c r="A209" s="223"/>
      <c r="B209" s="223"/>
      <c r="C209" s="223"/>
      <c r="D209" s="223"/>
      <c r="E209" s="223"/>
      <c r="F209" s="223"/>
      <c r="G209" s="223"/>
      <c r="H209" s="223"/>
      <c r="I209" s="223"/>
      <c r="J209" s="223"/>
      <c r="K209" s="223"/>
      <c r="L209" s="223"/>
      <c r="M209" s="223"/>
      <c r="N209" s="223"/>
      <c r="O209" s="223"/>
      <c r="P209" s="223"/>
      <c r="Q209" s="223"/>
      <c r="R209" s="223"/>
      <c r="S209" s="223"/>
      <c r="T209" s="223"/>
      <c r="U209" s="223"/>
      <c r="V209" s="223"/>
    </row>
    <row r="210" spans="1:22" x14ac:dyDescent="0.2">
      <c r="A210" s="223"/>
      <c r="B210" s="223"/>
      <c r="C210" s="223"/>
      <c r="D210" s="223"/>
      <c r="E210" s="223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3"/>
      <c r="S210" s="223"/>
      <c r="T210" s="223"/>
      <c r="U210" s="223"/>
      <c r="V210" s="223"/>
    </row>
    <row r="211" spans="1:22" x14ac:dyDescent="0.2">
      <c r="A211" s="223"/>
      <c r="B211" s="223"/>
      <c r="C211" s="223"/>
      <c r="D211" s="223"/>
      <c r="E211" s="223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3"/>
      <c r="S211" s="223"/>
      <c r="T211" s="223"/>
      <c r="U211" s="223"/>
      <c r="V211" s="223"/>
    </row>
    <row r="212" spans="1:22" x14ac:dyDescent="0.2">
      <c r="A212" s="223"/>
      <c r="B212" s="223"/>
      <c r="C212" s="223"/>
      <c r="D212" s="223"/>
      <c r="E212" s="223"/>
      <c r="F212" s="223"/>
      <c r="G212" s="223"/>
      <c r="H212" s="223"/>
      <c r="I212" s="223"/>
      <c r="J212" s="223"/>
      <c r="K212" s="223"/>
      <c r="L212" s="223"/>
      <c r="M212" s="223"/>
      <c r="N212" s="223"/>
      <c r="O212" s="223"/>
      <c r="P212" s="223"/>
      <c r="Q212" s="223"/>
      <c r="R212" s="223"/>
      <c r="S212" s="223"/>
      <c r="T212" s="223"/>
      <c r="U212" s="223"/>
      <c r="V212" s="223"/>
    </row>
    <row r="213" spans="1:22" x14ac:dyDescent="0.2">
      <c r="A213" s="223"/>
      <c r="B213" s="223"/>
      <c r="C213" s="223"/>
      <c r="D213" s="223"/>
      <c r="E213" s="223"/>
      <c r="F213" s="223"/>
      <c r="G213" s="223"/>
      <c r="H213" s="223"/>
      <c r="I213" s="223"/>
      <c r="J213" s="223"/>
      <c r="K213" s="223"/>
      <c r="L213" s="223"/>
      <c r="M213" s="223"/>
      <c r="N213" s="223"/>
      <c r="O213" s="223"/>
      <c r="P213" s="223"/>
      <c r="Q213" s="223"/>
      <c r="R213" s="223"/>
      <c r="S213" s="223"/>
      <c r="T213" s="223"/>
      <c r="U213" s="223"/>
      <c r="V213" s="223"/>
    </row>
    <row r="214" spans="1:22" x14ac:dyDescent="0.2">
      <c r="A214" s="223"/>
      <c r="B214" s="223"/>
      <c r="C214" s="223"/>
      <c r="D214" s="223"/>
      <c r="E214" s="223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3"/>
      <c r="Q214" s="223"/>
      <c r="R214" s="223"/>
      <c r="S214" s="223"/>
      <c r="T214" s="223"/>
      <c r="U214" s="223"/>
      <c r="V214" s="223"/>
    </row>
    <row r="215" spans="1:22" x14ac:dyDescent="0.2">
      <c r="A215" s="223"/>
      <c r="B215" s="223"/>
      <c r="C215" s="223"/>
      <c r="D215" s="223"/>
      <c r="E215" s="223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3"/>
      <c r="V215" s="223"/>
    </row>
    <row r="216" spans="1:22" x14ac:dyDescent="0.2">
      <c r="A216" s="223"/>
      <c r="B216" s="223"/>
      <c r="C216" s="223"/>
      <c r="D216" s="223"/>
      <c r="E216" s="223"/>
      <c r="F216" s="223"/>
      <c r="G216" s="223"/>
      <c r="H216" s="223"/>
      <c r="I216" s="223"/>
      <c r="J216" s="223"/>
      <c r="K216" s="223"/>
      <c r="L216" s="223"/>
      <c r="M216" s="223"/>
      <c r="N216" s="223"/>
      <c r="O216" s="223"/>
      <c r="P216" s="223"/>
      <c r="Q216" s="223"/>
      <c r="R216" s="223"/>
      <c r="S216" s="223"/>
      <c r="T216" s="223"/>
      <c r="U216" s="223"/>
      <c r="V216" s="223"/>
    </row>
    <row r="217" spans="1:22" x14ac:dyDescent="0.2">
      <c r="A217" s="223"/>
      <c r="B217" s="223"/>
      <c r="C217" s="223"/>
      <c r="D217" s="223"/>
      <c r="E217" s="223"/>
      <c r="F217" s="223"/>
      <c r="G217" s="223"/>
      <c r="H217" s="223"/>
      <c r="I217" s="223"/>
      <c r="J217" s="223"/>
      <c r="K217" s="223"/>
      <c r="L217" s="223"/>
      <c r="M217" s="223"/>
      <c r="N217" s="223"/>
      <c r="O217" s="223"/>
      <c r="P217" s="223"/>
      <c r="Q217" s="223"/>
      <c r="R217" s="223"/>
      <c r="S217" s="223"/>
      <c r="T217" s="223"/>
      <c r="U217" s="223"/>
      <c r="V217" s="223"/>
    </row>
    <row r="218" spans="1:22" x14ac:dyDescent="0.2">
      <c r="A218" s="223"/>
      <c r="B218" s="223"/>
      <c r="C218" s="223"/>
      <c r="D218" s="223"/>
      <c r="E218" s="223"/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3"/>
      <c r="Q218" s="223"/>
      <c r="R218" s="223"/>
      <c r="S218" s="223"/>
      <c r="T218" s="223"/>
      <c r="U218" s="223"/>
      <c r="V218" s="223"/>
    </row>
    <row r="219" spans="1:22" x14ac:dyDescent="0.2">
      <c r="A219" s="223"/>
      <c r="B219" s="223"/>
      <c r="C219" s="223"/>
      <c r="D219" s="223"/>
      <c r="E219" s="223"/>
      <c r="F219" s="223"/>
      <c r="G219" s="223"/>
      <c r="H219" s="223"/>
      <c r="I219" s="223"/>
      <c r="J219" s="223"/>
      <c r="K219" s="223"/>
      <c r="L219" s="223"/>
      <c r="M219" s="223"/>
      <c r="N219" s="223"/>
      <c r="O219" s="223"/>
      <c r="P219" s="223"/>
      <c r="Q219" s="223"/>
      <c r="R219" s="223"/>
      <c r="S219" s="223"/>
      <c r="T219" s="223"/>
      <c r="U219" s="223"/>
      <c r="V219" s="223"/>
    </row>
    <row r="220" spans="1:22" x14ac:dyDescent="0.2">
      <c r="A220" s="223"/>
      <c r="B220" s="223"/>
      <c r="C220" s="223"/>
      <c r="D220" s="223"/>
      <c r="E220" s="223"/>
      <c r="F220" s="223"/>
      <c r="G220" s="223"/>
      <c r="H220" s="223"/>
      <c r="I220" s="223"/>
      <c r="J220" s="223"/>
      <c r="K220" s="223"/>
      <c r="L220" s="223"/>
      <c r="M220" s="223"/>
      <c r="N220" s="223"/>
      <c r="O220" s="223"/>
      <c r="P220" s="223"/>
      <c r="Q220" s="223"/>
      <c r="R220" s="223"/>
      <c r="S220" s="223"/>
      <c r="T220" s="223"/>
      <c r="U220" s="223"/>
      <c r="V220" s="223"/>
    </row>
    <row r="221" spans="1:22" x14ac:dyDescent="0.2">
      <c r="A221" s="223"/>
      <c r="B221" s="223"/>
      <c r="C221" s="223"/>
      <c r="D221" s="223"/>
      <c r="E221" s="223"/>
      <c r="F221" s="223"/>
      <c r="G221" s="223"/>
      <c r="H221" s="223"/>
      <c r="I221" s="223"/>
      <c r="J221" s="223"/>
      <c r="K221" s="223"/>
      <c r="L221" s="223"/>
      <c r="M221" s="223"/>
      <c r="N221" s="223"/>
      <c r="O221" s="223"/>
      <c r="P221" s="223"/>
      <c r="Q221" s="223"/>
      <c r="R221" s="223"/>
      <c r="S221" s="223"/>
      <c r="T221" s="223"/>
      <c r="U221" s="223"/>
      <c r="V221" s="223"/>
    </row>
    <row r="222" spans="1:22" x14ac:dyDescent="0.2">
      <c r="A222" s="223"/>
      <c r="B222" s="223"/>
      <c r="C222" s="223"/>
      <c r="D222" s="223"/>
      <c r="E222" s="223"/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3"/>
      <c r="R222" s="223"/>
      <c r="S222" s="223"/>
      <c r="T222" s="223"/>
      <c r="U222" s="223"/>
      <c r="V222" s="223"/>
    </row>
    <row r="223" spans="1:22" x14ac:dyDescent="0.2">
      <c r="A223" s="223"/>
      <c r="B223" s="223"/>
      <c r="C223" s="223"/>
      <c r="D223" s="223"/>
      <c r="E223" s="223"/>
      <c r="F223" s="223"/>
      <c r="G223" s="223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  <c r="S223" s="223"/>
      <c r="T223" s="223"/>
      <c r="U223" s="223"/>
      <c r="V223" s="223"/>
    </row>
    <row r="224" spans="1:22" x14ac:dyDescent="0.2">
      <c r="A224" s="223"/>
      <c r="B224" s="223"/>
      <c r="C224" s="223"/>
      <c r="D224" s="223"/>
      <c r="E224" s="223"/>
      <c r="F224" s="223"/>
      <c r="G224" s="223"/>
      <c r="H224" s="223"/>
      <c r="I224" s="223"/>
      <c r="J224" s="223"/>
      <c r="K224" s="223"/>
      <c r="L224" s="223"/>
      <c r="M224" s="223"/>
      <c r="N224" s="223"/>
      <c r="O224" s="223"/>
      <c r="P224" s="223"/>
      <c r="Q224" s="223"/>
      <c r="R224" s="223"/>
      <c r="S224" s="223"/>
      <c r="T224" s="223"/>
      <c r="U224" s="223"/>
      <c r="V224" s="223"/>
    </row>
    <row r="225" spans="1:22" x14ac:dyDescent="0.2">
      <c r="A225" s="223"/>
      <c r="B225" s="223"/>
      <c r="C225" s="223"/>
      <c r="D225" s="223"/>
      <c r="E225" s="223"/>
      <c r="F225" s="223"/>
      <c r="G225" s="223"/>
      <c r="H225" s="223"/>
      <c r="I225" s="223"/>
      <c r="J225" s="223"/>
      <c r="K225" s="223"/>
      <c r="L225" s="223"/>
      <c r="M225" s="223"/>
      <c r="N225" s="223"/>
      <c r="O225" s="223"/>
      <c r="P225" s="223"/>
      <c r="Q225" s="223"/>
      <c r="R225" s="223"/>
      <c r="S225" s="223"/>
      <c r="T225" s="223"/>
      <c r="U225" s="223"/>
      <c r="V225" s="223"/>
    </row>
    <row r="226" spans="1:22" x14ac:dyDescent="0.2">
      <c r="A226" s="223"/>
      <c r="B226" s="223"/>
      <c r="C226" s="223"/>
      <c r="D226" s="223"/>
      <c r="E226" s="223"/>
      <c r="F226" s="223"/>
      <c r="G226" s="223"/>
      <c r="H226" s="223"/>
      <c r="I226" s="223"/>
      <c r="J226" s="223"/>
      <c r="K226" s="223"/>
      <c r="L226" s="223"/>
      <c r="M226" s="223"/>
      <c r="N226" s="223"/>
      <c r="O226" s="223"/>
      <c r="P226" s="223"/>
      <c r="Q226" s="223"/>
      <c r="R226" s="223"/>
      <c r="S226" s="223"/>
      <c r="T226" s="223"/>
      <c r="U226" s="223"/>
      <c r="V226" s="223"/>
    </row>
    <row r="227" spans="1:22" x14ac:dyDescent="0.2">
      <c r="A227" s="223"/>
      <c r="B227" s="223"/>
      <c r="C227" s="223"/>
      <c r="D227" s="223"/>
      <c r="E227" s="223"/>
      <c r="F227" s="223"/>
      <c r="G227" s="223"/>
      <c r="H227" s="223"/>
      <c r="I227" s="223"/>
      <c r="J227" s="223"/>
      <c r="K227" s="223"/>
      <c r="L227" s="223"/>
      <c r="M227" s="223"/>
      <c r="N227" s="223"/>
      <c r="O227" s="223"/>
      <c r="P227" s="223"/>
      <c r="Q227" s="223"/>
      <c r="R227" s="223"/>
      <c r="S227" s="223"/>
      <c r="T227" s="223"/>
      <c r="U227" s="223"/>
      <c r="V227" s="223"/>
    </row>
    <row r="228" spans="1:22" x14ac:dyDescent="0.2">
      <c r="A228" s="223"/>
      <c r="B228" s="223"/>
      <c r="C228" s="223"/>
      <c r="D228" s="223"/>
      <c r="E228" s="223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3"/>
      <c r="U228" s="223"/>
      <c r="V228" s="223"/>
    </row>
    <row r="229" spans="1:22" x14ac:dyDescent="0.2">
      <c r="A229" s="223"/>
      <c r="B229" s="223"/>
      <c r="C229" s="223"/>
      <c r="D229" s="223"/>
      <c r="E229" s="223"/>
      <c r="F229" s="223"/>
      <c r="G229" s="223"/>
      <c r="H229" s="223"/>
      <c r="I229" s="223"/>
      <c r="J229" s="223"/>
      <c r="K229" s="223"/>
      <c r="L229" s="223"/>
      <c r="M229" s="223"/>
      <c r="N229" s="223"/>
      <c r="O229" s="223"/>
      <c r="P229" s="223"/>
      <c r="Q229" s="223"/>
      <c r="R229" s="223"/>
      <c r="S229" s="223"/>
      <c r="T229" s="223"/>
      <c r="U229" s="223"/>
      <c r="V229" s="223"/>
    </row>
    <row r="230" spans="1:22" x14ac:dyDescent="0.2">
      <c r="A230" s="223"/>
      <c r="B230" s="223"/>
      <c r="C230" s="223"/>
      <c r="D230" s="223"/>
      <c r="E230" s="223"/>
      <c r="F230" s="223"/>
      <c r="G230" s="223"/>
      <c r="H230" s="223"/>
      <c r="I230" s="223"/>
      <c r="J230" s="223"/>
      <c r="K230" s="223"/>
      <c r="L230" s="223"/>
      <c r="M230" s="223"/>
      <c r="N230" s="223"/>
      <c r="O230" s="223"/>
      <c r="P230" s="223"/>
      <c r="Q230" s="223"/>
      <c r="R230" s="223"/>
      <c r="S230" s="223"/>
      <c r="T230" s="223"/>
      <c r="U230" s="223"/>
      <c r="V230" s="223"/>
    </row>
    <row r="231" spans="1:22" x14ac:dyDescent="0.2">
      <c r="A231" s="223"/>
      <c r="B231" s="223"/>
      <c r="C231" s="223"/>
      <c r="D231" s="223"/>
      <c r="E231" s="223"/>
      <c r="F231" s="223"/>
      <c r="G231" s="223"/>
      <c r="H231" s="223"/>
      <c r="I231" s="223"/>
      <c r="J231" s="223"/>
      <c r="K231" s="223"/>
      <c r="L231" s="223"/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</row>
    <row r="232" spans="1:22" x14ac:dyDescent="0.2">
      <c r="A232" s="223"/>
      <c r="B232" s="223"/>
      <c r="C232" s="223"/>
      <c r="D232" s="223"/>
      <c r="E232" s="223"/>
      <c r="F232" s="223"/>
      <c r="G232" s="223"/>
      <c r="H232" s="223"/>
      <c r="I232" s="223"/>
      <c r="J232" s="223"/>
      <c r="K232" s="223"/>
      <c r="L232" s="223"/>
      <c r="M232" s="223"/>
      <c r="N232" s="223"/>
      <c r="O232" s="223"/>
      <c r="P232" s="223"/>
      <c r="Q232" s="223"/>
      <c r="R232" s="223"/>
      <c r="S232" s="223"/>
      <c r="T232" s="223"/>
      <c r="U232" s="223"/>
      <c r="V232" s="223"/>
    </row>
    <row r="233" spans="1:22" x14ac:dyDescent="0.2">
      <c r="A233" s="223"/>
      <c r="B233" s="223"/>
      <c r="C233" s="223"/>
      <c r="D233" s="223"/>
      <c r="E233" s="223"/>
      <c r="F233" s="223"/>
      <c r="G233" s="223"/>
      <c r="H233" s="223"/>
      <c r="I233" s="223"/>
      <c r="J233" s="223"/>
      <c r="K233" s="223"/>
      <c r="L233" s="223"/>
      <c r="M233" s="223"/>
      <c r="N233" s="223"/>
      <c r="O233" s="223"/>
      <c r="P233" s="223"/>
      <c r="Q233" s="223"/>
      <c r="R233" s="223"/>
      <c r="S233" s="223"/>
      <c r="T233" s="223"/>
      <c r="U233" s="223"/>
      <c r="V233" s="223"/>
    </row>
    <row r="234" spans="1:22" x14ac:dyDescent="0.2">
      <c r="A234" s="223"/>
      <c r="B234" s="223"/>
      <c r="C234" s="223"/>
      <c r="D234" s="223"/>
      <c r="E234" s="223"/>
      <c r="F234" s="223"/>
      <c r="G234" s="223"/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</row>
    <row r="235" spans="1:22" x14ac:dyDescent="0.2">
      <c r="A235" s="223"/>
      <c r="B235" s="223"/>
      <c r="C235" s="223"/>
      <c r="D235" s="223"/>
      <c r="E235" s="223"/>
      <c r="F235" s="223"/>
      <c r="G235" s="223"/>
      <c r="H235" s="223"/>
      <c r="I235" s="223"/>
      <c r="J235" s="223"/>
      <c r="K235" s="223"/>
      <c r="L235" s="223"/>
      <c r="M235" s="223"/>
      <c r="N235" s="223"/>
      <c r="O235" s="223"/>
      <c r="P235" s="223"/>
      <c r="Q235" s="223"/>
      <c r="R235" s="223"/>
      <c r="S235" s="223"/>
      <c r="T235" s="223"/>
      <c r="U235" s="223"/>
      <c r="V235" s="223"/>
    </row>
    <row r="236" spans="1:22" x14ac:dyDescent="0.2">
      <c r="A236" s="223"/>
      <c r="B236" s="223"/>
      <c r="C236" s="223"/>
      <c r="D236" s="223"/>
      <c r="E236" s="223"/>
      <c r="F236" s="223"/>
      <c r="G236" s="223"/>
      <c r="H236" s="223"/>
      <c r="I236" s="223"/>
      <c r="J236" s="223"/>
      <c r="K236" s="223"/>
      <c r="L236" s="223"/>
      <c r="M236" s="223"/>
      <c r="N236" s="223"/>
      <c r="O236" s="223"/>
      <c r="P236" s="223"/>
      <c r="Q236" s="223"/>
      <c r="R236" s="223"/>
      <c r="S236" s="223"/>
      <c r="T236" s="223"/>
      <c r="U236" s="223"/>
      <c r="V236" s="223"/>
    </row>
    <row r="237" spans="1:22" x14ac:dyDescent="0.2">
      <c r="A237" s="223"/>
      <c r="B237" s="223"/>
      <c r="C237" s="223"/>
      <c r="D237" s="223"/>
      <c r="E237" s="223"/>
      <c r="F237" s="223"/>
      <c r="G237" s="223"/>
      <c r="H237" s="223"/>
      <c r="I237" s="223"/>
      <c r="J237" s="223"/>
      <c r="K237" s="223"/>
      <c r="L237" s="223"/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</row>
    <row r="238" spans="1:22" x14ac:dyDescent="0.2">
      <c r="A238" s="223"/>
      <c r="B238" s="223"/>
      <c r="C238" s="223"/>
      <c r="D238" s="223"/>
      <c r="E238" s="223"/>
      <c r="F238" s="223"/>
      <c r="G238" s="223"/>
      <c r="H238" s="223"/>
      <c r="I238" s="223"/>
      <c r="J238" s="223"/>
      <c r="K238" s="223"/>
      <c r="L238" s="223"/>
      <c r="M238" s="223"/>
      <c r="N238" s="223"/>
      <c r="O238" s="223"/>
      <c r="P238" s="223"/>
      <c r="Q238" s="223"/>
      <c r="R238" s="223"/>
      <c r="S238" s="223"/>
      <c r="T238" s="223"/>
      <c r="U238" s="223"/>
      <c r="V238" s="223"/>
    </row>
    <row r="239" spans="1:22" x14ac:dyDescent="0.2">
      <c r="A239" s="223"/>
      <c r="B239" s="223"/>
      <c r="C239" s="223"/>
      <c r="D239" s="223"/>
      <c r="E239" s="223"/>
      <c r="F239" s="223"/>
      <c r="G239" s="223"/>
      <c r="H239" s="223"/>
      <c r="I239" s="223"/>
      <c r="J239" s="223"/>
      <c r="K239" s="223"/>
      <c r="L239" s="223"/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</row>
    <row r="240" spans="1:22" x14ac:dyDescent="0.2">
      <c r="A240" s="223"/>
      <c r="B240" s="223"/>
      <c r="C240" s="223"/>
      <c r="D240" s="223"/>
      <c r="E240" s="223"/>
      <c r="F240" s="223"/>
      <c r="G240" s="223"/>
      <c r="H240" s="223"/>
      <c r="I240" s="223"/>
      <c r="J240" s="223"/>
      <c r="K240" s="223"/>
      <c r="L240" s="223"/>
      <c r="M240" s="223"/>
      <c r="N240" s="223"/>
      <c r="O240" s="223"/>
      <c r="P240" s="223"/>
      <c r="Q240" s="223"/>
      <c r="R240" s="223"/>
      <c r="S240" s="223"/>
      <c r="T240" s="223"/>
      <c r="U240" s="223"/>
      <c r="V240" s="223"/>
    </row>
    <row r="241" spans="1:22" x14ac:dyDescent="0.2">
      <c r="A241" s="223"/>
      <c r="B241" s="223"/>
      <c r="C241" s="223"/>
      <c r="D241" s="223"/>
      <c r="E241" s="223"/>
      <c r="F241" s="223"/>
      <c r="G241" s="223"/>
      <c r="H241" s="223"/>
      <c r="I241" s="223"/>
      <c r="J241" s="223"/>
      <c r="K241" s="223"/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</row>
    <row r="242" spans="1:22" x14ac:dyDescent="0.2">
      <c r="A242" s="223"/>
      <c r="B242" s="223"/>
      <c r="C242" s="223"/>
      <c r="D242" s="223"/>
      <c r="E242" s="223"/>
      <c r="F242" s="223"/>
      <c r="G242" s="223"/>
      <c r="H242" s="223"/>
      <c r="I242" s="223"/>
      <c r="J242" s="223"/>
      <c r="K242" s="223"/>
      <c r="L242" s="223"/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</row>
    <row r="243" spans="1:22" x14ac:dyDescent="0.2">
      <c r="A243" s="223"/>
      <c r="B243" s="223"/>
      <c r="C243" s="223"/>
      <c r="D243" s="223"/>
      <c r="E243" s="223"/>
      <c r="F243" s="223"/>
      <c r="G243" s="223"/>
      <c r="H243" s="223"/>
      <c r="I243" s="223"/>
      <c r="J243" s="223"/>
      <c r="K243" s="223"/>
      <c r="L243" s="223"/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</row>
    <row r="244" spans="1:22" x14ac:dyDescent="0.2">
      <c r="A244" s="223"/>
      <c r="B244" s="223"/>
      <c r="C244" s="223"/>
      <c r="D244" s="223"/>
      <c r="E244" s="223"/>
      <c r="F244" s="223"/>
      <c r="G244" s="223"/>
      <c r="H244" s="223"/>
      <c r="I244" s="223"/>
      <c r="J244" s="223"/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</row>
    <row r="245" spans="1:22" x14ac:dyDescent="0.2">
      <c r="A245" s="223"/>
      <c r="B245" s="223"/>
      <c r="C245" s="223"/>
      <c r="D245" s="223"/>
      <c r="E245" s="223"/>
      <c r="F245" s="223"/>
      <c r="G245" s="223"/>
      <c r="H245" s="223"/>
      <c r="I245" s="223"/>
      <c r="J245" s="223"/>
      <c r="K245" s="223"/>
      <c r="L245" s="223"/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</row>
    <row r="246" spans="1:22" x14ac:dyDescent="0.2">
      <c r="A246" s="223"/>
      <c r="B246" s="223"/>
      <c r="C246" s="223"/>
      <c r="D246" s="223"/>
      <c r="E246" s="223"/>
      <c r="F246" s="223"/>
      <c r="G246" s="223"/>
      <c r="H246" s="223"/>
      <c r="I246" s="223"/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</row>
    <row r="247" spans="1:22" x14ac:dyDescent="0.2">
      <c r="A247" s="223"/>
      <c r="B247" s="223"/>
      <c r="C247" s="223"/>
      <c r="D247" s="223"/>
      <c r="E247" s="223"/>
      <c r="F247" s="223"/>
      <c r="G247" s="223"/>
      <c r="H247" s="223"/>
      <c r="I247" s="223"/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</row>
    <row r="248" spans="1:22" x14ac:dyDescent="0.2">
      <c r="A248" s="223"/>
      <c r="B248" s="223"/>
      <c r="C248" s="223"/>
      <c r="D248" s="223"/>
      <c r="E248" s="223"/>
      <c r="F248" s="223"/>
      <c r="G248" s="223"/>
      <c r="H248" s="223"/>
      <c r="I248" s="223"/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</row>
    <row r="249" spans="1:22" x14ac:dyDescent="0.2">
      <c r="A249" s="223"/>
      <c r="B249" s="223"/>
      <c r="C249" s="223"/>
      <c r="D249" s="223"/>
      <c r="E249" s="223"/>
      <c r="F249" s="223"/>
      <c r="G249" s="223"/>
      <c r="H249" s="223"/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</row>
    <row r="250" spans="1:22" x14ac:dyDescent="0.2">
      <c r="A250" s="223"/>
      <c r="B250" s="223"/>
      <c r="C250" s="223"/>
      <c r="D250" s="223"/>
      <c r="E250" s="223"/>
      <c r="F250" s="223"/>
      <c r="G250" s="223"/>
      <c r="H250" s="223"/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</row>
    <row r="251" spans="1:22" x14ac:dyDescent="0.2">
      <c r="A251" s="223"/>
      <c r="B251" s="223"/>
      <c r="C251" s="223"/>
      <c r="D251" s="223"/>
      <c r="E251" s="223"/>
      <c r="F251" s="223"/>
      <c r="G251" s="223"/>
      <c r="H251" s="223"/>
      <c r="I251" s="223"/>
      <c r="J251" s="223"/>
      <c r="K251" s="223"/>
      <c r="L251" s="223"/>
      <c r="M251" s="223"/>
      <c r="N251" s="223"/>
      <c r="O251" s="223"/>
      <c r="P251" s="223"/>
      <c r="Q251" s="223"/>
      <c r="R251" s="223"/>
      <c r="S251" s="223"/>
      <c r="T251" s="223"/>
      <c r="U251" s="223"/>
      <c r="V251" s="223"/>
    </row>
    <row r="252" spans="1:22" x14ac:dyDescent="0.2">
      <c r="A252" s="223"/>
      <c r="B252" s="223"/>
      <c r="C252" s="223"/>
      <c r="D252" s="223"/>
      <c r="E252" s="223"/>
      <c r="F252" s="223"/>
      <c r="G252" s="223"/>
      <c r="H252" s="223"/>
      <c r="I252" s="223"/>
      <c r="J252" s="223"/>
      <c r="K252" s="223"/>
      <c r="L252" s="223"/>
      <c r="M252" s="223"/>
      <c r="N252" s="223"/>
      <c r="O252" s="223"/>
      <c r="P252" s="223"/>
      <c r="Q252" s="223"/>
      <c r="R252" s="223"/>
      <c r="S252" s="223"/>
      <c r="T252" s="223"/>
      <c r="U252" s="223"/>
      <c r="V252" s="223"/>
    </row>
    <row r="253" spans="1:22" x14ac:dyDescent="0.2">
      <c r="A253" s="223"/>
      <c r="B253" s="223"/>
      <c r="C253" s="223"/>
      <c r="D253" s="223"/>
      <c r="E253" s="223"/>
      <c r="F253" s="223"/>
      <c r="G253" s="223"/>
      <c r="H253" s="223"/>
      <c r="I253" s="223"/>
      <c r="J253" s="223"/>
      <c r="K253" s="223"/>
      <c r="L253" s="223"/>
      <c r="M253" s="223"/>
      <c r="N253" s="223"/>
      <c r="O253" s="223"/>
      <c r="P253" s="223"/>
      <c r="Q253" s="223"/>
      <c r="R253" s="223"/>
      <c r="S253" s="223"/>
      <c r="T253" s="223"/>
      <c r="U253" s="223"/>
      <c r="V253" s="223"/>
    </row>
    <row r="254" spans="1:22" x14ac:dyDescent="0.2">
      <c r="A254" s="223"/>
      <c r="B254" s="223"/>
      <c r="C254" s="223"/>
      <c r="D254" s="223"/>
      <c r="E254" s="223"/>
      <c r="F254" s="223"/>
      <c r="G254" s="223"/>
      <c r="H254" s="223"/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</row>
    <row r="255" spans="1:22" x14ac:dyDescent="0.2">
      <c r="A255" s="223"/>
      <c r="B255" s="223"/>
      <c r="C255" s="223"/>
      <c r="D255" s="223"/>
      <c r="E255" s="223"/>
      <c r="F255" s="223"/>
      <c r="G255" s="223"/>
      <c r="H255" s="223"/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</row>
    <row r="256" spans="1:22" x14ac:dyDescent="0.2">
      <c r="A256" s="223"/>
      <c r="B256" s="223"/>
      <c r="C256" s="223"/>
      <c r="D256" s="223"/>
      <c r="E256" s="223"/>
      <c r="F256" s="223"/>
      <c r="G256" s="223"/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3"/>
      <c r="S256" s="223"/>
      <c r="T256" s="223"/>
      <c r="U256" s="223"/>
      <c r="V256" s="223"/>
    </row>
    <row r="257" spans="1:22" x14ac:dyDescent="0.2">
      <c r="A257" s="223"/>
      <c r="B257" s="223"/>
      <c r="C257" s="223"/>
      <c r="D257" s="223"/>
      <c r="E257" s="223"/>
      <c r="F257" s="223"/>
      <c r="G257" s="223"/>
      <c r="H257" s="223"/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</row>
    <row r="258" spans="1:22" x14ac:dyDescent="0.2">
      <c r="A258" s="223"/>
      <c r="B258" s="223"/>
      <c r="C258" s="223"/>
      <c r="D258" s="223"/>
      <c r="E258" s="223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</row>
    <row r="259" spans="1:22" x14ac:dyDescent="0.2">
      <c r="A259" s="223"/>
      <c r="B259" s="223"/>
      <c r="C259" s="223"/>
      <c r="D259" s="223"/>
      <c r="E259" s="223"/>
      <c r="F259" s="223"/>
      <c r="G259" s="223"/>
      <c r="H259" s="223"/>
      <c r="I259" s="223"/>
      <c r="J259" s="223"/>
      <c r="K259" s="223"/>
      <c r="L259" s="223"/>
      <c r="M259" s="223"/>
      <c r="N259" s="223"/>
      <c r="O259" s="223"/>
      <c r="P259" s="223"/>
      <c r="Q259" s="223"/>
      <c r="R259" s="223"/>
      <c r="S259" s="223"/>
      <c r="T259" s="223"/>
      <c r="U259" s="223"/>
      <c r="V259" s="223"/>
    </row>
    <row r="260" spans="1:22" x14ac:dyDescent="0.2">
      <c r="A260" s="223"/>
      <c r="B260" s="223"/>
      <c r="C260" s="223"/>
      <c r="D260" s="223"/>
      <c r="E260" s="223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3"/>
      <c r="S260" s="223"/>
      <c r="T260" s="223"/>
      <c r="U260" s="223"/>
      <c r="V260" s="223"/>
    </row>
    <row r="261" spans="1:22" x14ac:dyDescent="0.2">
      <c r="A261" s="223"/>
      <c r="B261" s="223"/>
      <c r="C261" s="223"/>
      <c r="D261" s="223"/>
      <c r="E261" s="223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3"/>
      <c r="S261" s="223"/>
      <c r="T261" s="223"/>
      <c r="U261" s="223"/>
      <c r="V261" s="223"/>
    </row>
    <row r="262" spans="1:22" x14ac:dyDescent="0.2">
      <c r="A262" s="223"/>
      <c r="B262" s="223"/>
      <c r="C262" s="223"/>
      <c r="D262" s="223"/>
      <c r="E262" s="223"/>
      <c r="F262" s="223"/>
      <c r="G262" s="223"/>
      <c r="H262" s="223"/>
      <c r="I262" s="223"/>
      <c r="J262" s="223"/>
      <c r="K262" s="223"/>
      <c r="L262" s="223"/>
      <c r="M262" s="223"/>
      <c r="N262" s="223"/>
      <c r="O262" s="223"/>
      <c r="P262" s="223"/>
      <c r="Q262" s="223"/>
      <c r="R262" s="223"/>
      <c r="S262" s="223"/>
      <c r="T262" s="223"/>
      <c r="U262" s="223"/>
      <c r="V262" s="223"/>
    </row>
    <row r="263" spans="1:22" x14ac:dyDescent="0.2">
      <c r="A263" s="223"/>
      <c r="B263" s="223"/>
      <c r="C263" s="223"/>
      <c r="D263" s="223"/>
      <c r="E263" s="223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</row>
    <row r="264" spans="1:22" x14ac:dyDescent="0.2">
      <c r="A264" s="223"/>
      <c r="B264" s="223"/>
      <c r="C264" s="223"/>
      <c r="D264" s="223"/>
      <c r="E264" s="223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</row>
    <row r="265" spans="1:22" x14ac:dyDescent="0.2">
      <c r="A265" s="223"/>
      <c r="B265" s="223"/>
      <c r="C265" s="223"/>
      <c r="D265" s="223"/>
      <c r="E265" s="223"/>
      <c r="F265" s="223"/>
      <c r="G265" s="223"/>
      <c r="H265" s="223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</row>
    <row r="266" spans="1:22" x14ac:dyDescent="0.2">
      <c r="A266" s="223"/>
      <c r="B266" s="223"/>
      <c r="C266" s="223"/>
      <c r="D266" s="223"/>
      <c r="E266" s="223"/>
      <c r="F266" s="223"/>
      <c r="G266" s="223"/>
      <c r="H266" s="223"/>
      <c r="I266" s="223"/>
      <c r="J266" s="223"/>
      <c r="K266" s="223"/>
      <c r="L266" s="223"/>
      <c r="M266" s="223"/>
      <c r="N266" s="223"/>
      <c r="O266" s="223"/>
      <c r="P266" s="223"/>
      <c r="Q266" s="223"/>
      <c r="R266" s="223"/>
      <c r="S266" s="223"/>
      <c r="T266" s="223"/>
      <c r="U266" s="223"/>
      <c r="V266" s="223"/>
    </row>
    <row r="267" spans="1:22" x14ac:dyDescent="0.2">
      <c r="A267" s="223"/>
      <c r="B267" s="223"/>
      <c r="C267" s="223"/>
      <c r="D267" s="223"/>
      <c r="E267" s="223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3"/>
    </row>
    <row r="268" spans="1:22" x14ac:dyDescent="0.2">
      <c r="A268" s="223"/>
      <c r="B268" s="223"/>
      <c r="C268" s="223"/>
      <c r="D268" s="223"/>
      <c r="E268" s="223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</row>
    <row r="269" spans="1:22" x14ac:dyDescent="0.2">
      <c r="A269" s="223"/>
      <c r="B269" s="223"/>
      <c r="C269" s="223"/>
      <c r="D269" s="223"/>
      <c r="E269" s="223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</row>
    <row r="270" spans="1:22" x14ac:dyDescent="0.2">
      <c r="A270" s="223"/>
      <c r="B270" s="223"/>
      <c r="C270" s="223"/>
      <c r="D270" s="223"/>
      <c r="E270" s="223"/>
      <c r="F270" s="223"/>
      <c r="G270" s="223"/>
      <c r="H270" s="223"/>
      <c r="I270" s="223"/>
      <c r="J270" s="223"/>
      <c r="K270" s="223"/>
      <c r="L270" s="223"/>
      <c r="M270" s="223"/>
      <c r="N270" s="223"/>
      <c r="O270" s="223"/>
      <c r="P270" s="223"/>
      <c r="Q270" s="223"/>
      <c r="R270" s="223"/>
      <c r="S270" s="223"/>
      <c r="T270" s="223"/>
      <c r="U270" s="223"/>
      <c r="V270" s="223"/>
    </row>
    <row r="271" spans="1:22" x14ac:dyDescent="0.2">
      <c r="A271" s="223"/>
      <c r="B271" s="223"/>
      <c r="C271" s="223"/>
      <c r="D271" s="223"/>
      <c r="E271" s="223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3"/>
      <c r="S271" s="223"/>
      <c r="T271" s="223"/>
      <c r="U271" s="223"/>
      <c r="V271" s="223"/>
    </row>
    <row r="272" spans="1:22" x14ac:dyDescent="0.2">
      <c r="A272" s="223"/>
      <c r="B272" s="223"/>
      <c r="C272" s="223"/>
      <c r="D272" s="223"/>
      <c r="E272" s="223"/>
      <c r="F272" s="223"/>
      <c r="G272" s="223"/>
      <c r="H272" s="223"/>
      <c r="I272" s="223"/>
      <c r="J272" s="223"/>
      <c r="K272" s="223"/>
      <c r="L272" s="223"/>
      <c r="M272" s="223"/>
      <c r="N272" s="223"/>
      <c r="O272" s="223"/>
      <c r="P272" s="223"/>
      <c r="Q272" s="223"/>
      <c r="R272" s="223"/>
      <c r="S272" s="223"/>
      <c r="T272" s="223"/>
      <c r="U272" s="223"/>
      <c r="V272" s="223"/>
    </row>
    <row r="273" spans="1:22" x14ac:dyDescent="0.2">
      <c r="A273" s="223"/>
      <c r="B273" s="223"/>
      <c r="C273" s="223"/>
      <c r="D273" s="223"/>
      <c r="E273" s="223"/>
      <c r="F273" s="223"/>
      <c r="G273" s="223"/>
      <c r="H273" s="223"/>
      <c r="I273" s="223"/>
      <c r="J273" s="223"/>
      <c r="K273" s="223"/>
      <c r="L273" s="223"/>
      <c r="M273" s="223"/>
      <c r="N273" s="223"/>
      <c r="O273" s="223"/>
      <c r="P273" s="223"/>
      <c r="Q273" s="223"/>
      <c r="R273" s="223"/>
      <c r="S273" s="223"/>
      <c r="T273" s="223"/>
      <c r="U273" s="223"/>
      <c r="V273" s="223"/>
    </row>
    <row r="274" spans="1:22" x14ac:dyDescent="0.2">
      <c r="A274" s="223"/>
      <c r="B274" s="223"/>
      <c r="C274" s="223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</row>
    <row r="275" spans="1:22" x14ac:dyDescent="0.2">
      <c r="A275" s="223"/>
      <c r="B275" s="223"/>
      <c r="C275" s="223"/>
      <c r="D275" s="223"/>
      <c r="E275" s="223"/>
      <c r="F275" s="223"/>
      <c r="G275" s="223"/>
      <c r="H275" s="223"/>
      <c r="I275" s="223"/>
      <c r="J275" s="223"/>
      <c r="K275" s="223"/>
      <c r="L275" s="223"/>
      <c r="M275" s="223"/>
      <c r="N275" s="223"/>
      <c r="O275" s="223"/>
      <c r="P275" s="223"/>
      <c r="Q275" s="223"/>
      <c r="R275" s="223"/>
      <c r="S275" s="223"/>
      <c r="T275" s="223"/>
      <c r="U275" s="223"/>
      <c r="V275" s="223"/>
    </row>
    <row r="276" spans="1:22" x14ac:dyDescent="0.2">
      <c r="A276" s="223"/>
      <c r="B276" s="223"/>
      <c r="C276" s="223"/>
      <c r="D276" s="223"/>
      <c r="E276" s="223"/>
      <c r="F276" s="223"/>
      <c r="G276" s="223"/>
      <c r="H276" s="223"/>
      <c r="I276" s="223"/>
      <c r="J276" s="223"/>
      <c r="K276" s="223"/>
      <c r="L276" s="223"/>
      <c r="M276" s="223"/>
      <c r="N276" s="223"/>
      <c r="O276" s="223"/>
      <c r="P276" s="223"/>
      <c r="Q276" s="223"/>
      <c r="R276" s="223"/>
      <c r="S276" s="223"/>
      <c r="T276" s="223"/>
      <c r="U276" s="223"/>
      <c r="V276" s="223"/>
    </row>
    <row r="277" spans="1:22" x14ac:dyDescent="0.2">
      <c r="A277" s="223"/>
      <c r="B277" s="223"/>
      <c r="C277" s="223"/>
      <c r="D277" s="223"/>
      <c r="E277" s="223"/>
      <c r="F277" s="223"/>
      <c r="G277" s="223"/>
      <c r="H277" s="223"/>
      <c r="I277" s="223"/>
      <c r="J277" s="223"/>
      <c r="K277" s="223"/>
      <c r="L277" s="223"/>
      <c r="M277" s="223"/>
      <c r="N277" s="223"/>
      <c r="O277" s="223"/>
      <c r="P277" s="223"/>
      <c r="Q277" s="223"/>
      <c r="R277" s="223"/>
      <c r="S277" s="223"/>
      <c r="T277" s="223"/>
      <c r="U277" s="223"/>
      <c r="V277" s="223"/>
    </row>
    <row r="278" spans="1:22" x14ac:dyDescent="0.2">
      <c r="A278" s="223"/>
      <c r="B278" s="223"/>
      <c r="C278" s="223"/>
      <c r="D278" s="223"/>
      <c r="E278" s="223"/>
      <c r="F278" s="223"/>
      <c r="G278" s="223"/>
      <c r="H278" s="223"/>
      <c r="I278" s="223"/>
      <c r="J278" s="223"/>
      <c r="K278" s="223"/>
      <c r="L278" s="223"/>
      <c r="M278" s="223"/>
      <c r="N278" s="223"/>
      <c r="O278" s="223"/>
      <c r="P278" s="223"/>
      <c r="Q278" s="223"/>
      <c r="R278" s="223"/>
      <c r="S278" s="223"/>
      <c r="T278" s="223"/>
      <c r="U278" s="223"/>
      <c r="V278" s="223"/>
    </row>
    <row r="279" spans="1:22" x14ac:dyDescent="0.2">
      <c r="A279" s="223"/>
      <c r="B279" s="223"/>
      <c r="C279" s="223"/>
      <c r="D279" s="223"/>
      <c r="E279" s="223"/>
      <c r="F279" s="223"/>
      <c r="G279" s="223"/>
      <c r="H279" s="223"/>
      <c r="I279" s="223"/>
      <c r="J279" s="223"/>
      <c r="K279" s="223"/>
      <c r="L279" s="223"/>
      <c r="M279" s="223"/>
      <c r="N279" s="223"/>
      <c r="O279" s="223"/>
      <c r="P279" s="223"/>
      <c r="Q279" s="223"/>
      <c r="R279" s="223"/>
      <c r="S279" s="223"/>
      <c r="T279" s="223"/>
      <c r="U279" s="223"/>
      <c r="V279" s="223"/>
    </row>
    <row r="280" spans="1:22" x14ac:dyDescent="0.2">
      <c r="A280" s="223"/>
      <c r="B280" s="223"/>
      <c r="C280" s="223"/>
      <c r="D280" s="223"/>
      <c r="E280" s="223"/>
      <c r="F280" s="223"/>
      <c r="G280" s="223"/>
      <c r="H280" s="223"/>
      <c r="I280" s="223"/>
      <c r="J280" s="223"/>
      <c r="K280" s="223"/>
      <c r="L280" s="223"/>
      <c r="M280" s="223"/>
      <c r="N280" s="223"/>
      <c r="O280" s="223"/>
      <c r="P280" s="223"/>
      <c r="Q280" s="223"/>
      <c r="R280" s="223"/>
      <c r="S280" s="223"/>
      <c r="T280" s="223"/>
      <c r="U280" s="223"/>
      <c r="V280" s="223"/>
    </row>
    <row r="281" spans="1:22" x14ac:dyDescent="0.2">
      <c r="A281" s="223"/>
      <c r="B281" s="223"/>
      <c r="C281" s="223"/>
      <c r="D281" s="223"/>
      <c r="E281" s="223"/>
      <c r="F281" s="223"/>
      <c r="G281" s="223"/>
      <c r="H281" s="223"/>
      <c r="I281" s="223"/>
      <c r="J281" s="223"/>
      <c r="K281" s="223"/>
      <c r="L281" s="223"/>
      <c r="M281" s="223"/>
      <c r="N281" s="223"/>
      <c r="O281" s="223"/>
      <c r="P281" s="223"/>
      <c r="Q281" s="223"/>
      <c r="R281" s="223"/>
      <c r="S281" s="223"/>
      <c r="T281" s="223"/>
      <c r="U281" s="223"/>
      <c r="V281" s="223"/>
    </row>
    <row r="282" spans="1:22" x14ac:dyDescent="0.2">
      <c r="A282" s="223"/>
      <c r="B282" s="223"/>
      <c r="C282" s="223"/>
      <c r="D282" s="223"/>
      <c r="E282" s="223"/>
      <c r="F282" s="223"/>
      <c r="G282" s="223"/>
      <c r="H282" s="223"/>
      <c r="I282" s="223"/>
      <c r="J282" s="223"/>
      <c r="K282" s="223"/>
      <c r="L282" s="223"/>
      <c r="M282" s="223"/>
      <c r="N282" s="223"/>
      <c r="O282" s="223"/>
      <c r="P282" s="223"/>
      <c r="Q282" s="223"/>
      <c r="R282" s="223"/>
      <c r="S282" s="223"/>
      <c r="T282" s="223"/>
      <c r="U282" s="223"/>
      <c r="V282" s="223"/>
    </row>
    <row r="283" spans="1:22" x14ac:dyDescent="0.2">
      <c r="A283" s="223"/>
      <c r="B283" s="223"/>
      <c r="C283" s="223"/>
      <c r="D283" s="223"/>
      <c r="E283" s="223"/>
      <c r="F283" s="223"/>
      <c r="G283" s="223"/>
      <c r="H283" s="223"/>
      <c r="I283" s="223"/>
      <c r="J283" s="223"/>
      <c r="K283" s="223"/>
      <c r="L283" s="223"/>
      <c r="M283" s="223"/>
      <c r="N283" s="223"/>
      <c r="O283" s="223"/>
      <c r="P283" s="223"/>
      <c r="Q283" s="223"/>
      <c r="R283" s="223"/>
      <c r="S283" s="223"/>
      <c r="T283" s="223"/>
      <c r="U283" s="223"/>
      <c r="V283" s="223"/>
    </row>
    <row r="284" spans="1:22" x14ac:dyDescent="0.2">
      <c r="A284" s="223"/>
      <c r="B284" s="223"/>
      <c r="C284" s="223"/>
      <c r="D284" s="223"/>
      <c r="E284" s="223"/>
      <c r="F284" s="223"/>
      <c r="G284" s="223"/>
      <c r="H284" s="223"/>
      <c r="I284" s="223"/>
      <c r="J284" s="223"/>
      <c r="K284" s="223"/>
      <c r="L284" s="223"/>
      <c r="M284" s="223"/>
      <c r="N284" s="223"/>
      <c r="O284" s="223"/>
      <c r="P284" s="223"/>
      <c r="Q284" s="223"/>
      <c r="R284" s="223"/>
      <c r="S284" s="223"/>
      <c r="T284" s="223"/>
      <c r="U284" s="223"/>
      <c r="V284" s="223"/>
    </row>
    <row r="285" spans="1:22" x14ac:dyDescent="0.2">
      <c r="A285" s="223"/>
      <c r="B285" s="223"/>
      <c r="C285" s="223"/>
      <c r="D285" s="223"/>
      <c r="E285" s="223"/>
      <c r="F285" s="223"/>
      <c r="G285" s="223"/>
      <c r="H285" s="223"/>
      <c r="I285" s="223"/>
      <c r="J285" s="223"/>
      <c r="K285" s="223"/>
      <c r="L285" s="223"/>
      <c r="M285" s="223"/>
      <c r="N285" s="223"/>
      <c r="O285" s="223"/>
      <c r="P285" s="223"/>
      <c r="Q285" s="223"/>
      <c r="R285" s="223"/>
      <c r="S285" s="223"/>
      <c r="T285" s="223"/>
      <c r="U285" s="223"/>
      <c r="V285" s="223"/>
    </row>
    <row r="286" spans="1:22" x14ac:dyDescent="0.2">
      <c r="A286" s="223"/>
      <c r="B286" s="223"/>
      <c r="C286" s="223"/>
      <c r="D286" s="223"/>
      <c r="E286" s="223"/>
      <c r="F286" s="223"/>
      <c r="G286" s="223"/>
      <c r="H286" s="223"/>
      <c r="I286" s="223"/>
      <c r="J286" s="223"/>
      <c r="K286" s="223"/>
      <c r="L286" s="223"/>
      <c r="M286" s="223"/>
      <c r="N286" s="223"/>
      <c r="O286" s="223"/>
      <c r="P286" s="223"/>
      <c r="Q286" s="223"/>
      <c r="R286" s="223"/>
      <c r="S286" s="223"/>
      <c r="T286" s="223"/>
      <c r="U286" s="223"/>
      <c r="V286" s="223"/>
    </row>
    <row r="287" spans="1:22" x14ac:dyDescent="0.2">
      <c r="A287" s="223"/>
      <c r="B287" s="223"/>
      <c r="C287" s="223"/>
      <c r="D287" s="223"/>
      <c r="E287" s="223"/>
      <c r="F287" s="223"/>
      <c r="G287" s="223"/>
      <c r="H287" s="223"/>
      <c r="I287" s="223"/>
      <c r="J287" s="223"/>
      <c r="K287" s="223"/>
      <c r="L287" s="223"/>
      <c r="M287" s="223"/>
      <c r="N287" s="223"/>
      <c r="O287" s="223"/>
      <c r="P287" s="223"/>
      <c r="Q287" s="223"/>
      <c r="R287" s="223"/>
      <c r="S287" s="223"/>
      <c r="T287" s="223"/>
      <c r="U287" s="223"/>
      <c r="V287" s="223"/>
    </row>
    <row r="288" spans="1:22" x14ac:dyDescent="0.2">
      <c r="A288" s="223"/>
      <c r="B288" s="223"/>
      <c r="C288" s="223"/>
      <c r="D288" s="223"/>
      <c r="E288" s="223"/>
      <c r="F288" s="223"/>
      <c r="G288" s="223"/>
      <c r="H288" s="223"/>
      <c r="I288" s="223"/>
      <c r="J288" s="223"/>
      <c r="K288" s="223"/>
      <c r="L288" s="223"/>
      <c r="M288" s="223"/>
      <c r="N288" s="223"/>
      <c r="O288" s="223"/>
      <c r="P288" s="223"/>
      <c r="Q288" s="223"/>
      <c r="R288" s="223"/>
      <c r="S288" s="223"/>
      <c r="T288" s="223"/>
      <c r="U288" s="223"/>
      <c r="V288" s="223"/>
    </row>
    <row r="289" spans="1:22" x14ac:dyDescent="0.2">
      <c r="A289" s="223"/>
      <c r="B289" s="223"/>
      <c r="C289" s="223"/>
      <c r="D289" s="223"/>
      <c r="E289" s="223"/>
      <c r="F289" s="223"/>
      <c r="G289" s="223"/>
      <c r="H289" s="223"/>
      <c r="I289" s="223"/>
      <c r="J289" s="223"/>
      <c r="K289" s="223"/>
      <c r="L289" s="223"/>
      <c r="M289" s="223"/>
      <c r="N289" s="223"/>
      <c r="O289" s="223"/>
      <c r="P289" s="223"/>
      <c r="Q289" s="223"/>
      <c r="R289" s="223"/>
      <c r="S289" s="223"/>
      <c r="T289" s="223"/>
      <c r="U289" s="223"/>
      <c r="V289" s="223"/>
    </row>
    <row r="290" spans="1:22" x14ac:dyDescent="0.2">
      <c r="A290" s="223"/>
      <c r="B290" s="223"/>
      <c r="C290" s="223"/>
      <c r="D290" s="223"/>
      <c r="E290" s="223"/>
      <c r="F290" s="223"/>
      <c r="G290" s="223"/>
      <c r="H290" s="223"/>
      <c r="I290" s="223"/>
      <c r="J290" s="223"/>
      <c r="K290" s="223"/>
      <c r="L290" s="223"/>
      <c r="M290" s="223"/>
      <c r="N290" s="223"/>
      <c r="O290" s="223"/>
      <c r="P290" s="223"/>
      <c r="Q290" s="223"/>
      <c r="R290" s="223"/>
      <c r="S290" s="223"/>
      <c r="T290" s="223"/>
      <c r="U290" s="223"/>
      <c r="V290" s="223"/>
    </row>
    <row r="291" spans="1:22" x14ac:dyDescent="0.2">
      <c r="A291" s="223"/>
      <c r="B291" s="223"/>
      <c r="C291" s="223"/>
      <c r="D291" s="223"/>
      <c r="E291" s="223"/>
      <c r="F291" s="223"/>
      <c r="G291" s="223"/>
      <c r="H291" s="223"/>
      <c r="I291" s="223"/>
      <c r="J291" s="223"/>
      <c r="K291" s="223"/>
      <c r="L291" s="223"/>
      <c r="M291" s="223"/>
      <c r="N291" s="223"/>
      <c r="O291" s="223"/>
      <c r="P291" s="223"/>
      <c r="Q291" s="223"/>
      <c r="R291" s="223"/>
      <c r="S291" s="223"/>
      <c r="T291" s="223"/>
      <c r="U291" s="223"/>
      <c r="V291" s="223"/>
    </row>
    <row r="292" spans="1:22" x14ac:dyDescent="0.2">
      <c r="A292" s="223"/>
      <c r="B292" s="223"/>
      <c r="C292" s="223"/>
      <c r="D292" s="223"/>
      <c r="E292" s="223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3"/>
      <c r="R292" s="223"/>
      <c r="S292" s="223"/>
      <c r="T292" s="223"/>
      <c r="U292" s="223"/>
      <c r="V292" s="223"/>
    </row>
    <row r="293" spans="1:22" x14ac:dyDescent="0.2">
      <c r="A293" s="223"/>
      <c r="B293" s="223"/>
      <c r="C293" s="223"/>
      <c r="D293" s="223"/>
      <c r="E293" s="223"/>
      <c r="F293" s="223"/>
      <c r="G293" s="223"/>
      <c r="H293" s="223"/>
      <c r="I293" s="223"/>
      <c r="J293" s="223"/>
      <c r="K293" s="223"/>
      <c r="L293" s="223"/>
      <c r="M293" s="223"/>
      <c r="N293" s="223"/>
      <c r="O293" s="223"/>
      <c r="P293" s="223"/>
      <c r="Q293" s="223"/>
      <c r="R293" s="223"/>
      <c r="S293" s="223"/>
      <c r="T293" s="223"/>
      <c r="U293" s="223"/>
      <c r="V293" s="223"/>
    </row>
    <row r="294" spans="1:22" x14ac:dyDescent="0.2">
      <c r="A294" s="223"/>
      <c r="B294" s="223"/>
      <c r="C294" s="223"/>
      <c r="D294" s="223"/>
      <c r="E294" s="223"/>
      <c r="F294" s="223"/>
      <c r="G294" s="223"/>
      <c r="H294" s="223"/>
      <c r="I294" s="223"/>
      <c r="J294" s="223"/>
      <c r="K294" s="223"/>
      <c r="L294" s="223"/>
      <c r="M294" s="223"/>
      <c r="N294" s="223"/>
      <c r="O294" s="223"/>
      <c r="P294" s="223"/>
      <c r="Q294" s="223"/>
      <c r="R294" s="223"/>
      <c r="S294" s="223"/>
      <c r="T294" s="223"/>
      <c r="U294" s="223"/>
      <c r="V294" s="223"/>
    </row>
    <row r="295" spans="1:22" x14ac:dyDescent="0.2">
      <c r="A295" s="223"/>
      <c r="B295" s="223"/>
      <c r="C295" s="223"/>
      <c r="D295" s="223"/>
      <c r="E295" s="223"/>
      <c r="F295" s="223"/>
      <c r="G295" s="223"/>
      <c r="H295" s="223"/>
      <c r="I295" s="223"/>
      <c r="J295" s="223"/>
      <c r="K295" s="223"/>
      <c r="L295" s="223"/>
      <c r="M295" s="223"/>
      <c r="N295" s="223"/>
      <c r="O295" s="223"/>
      <c r="P295" s="223"/>
      <c r="Q295" s="223"/>
      <c r="R295" s="223"/>
      <c r="S295" s="223"/>
      <c r="T295" s="223"/>
      <c r="U295" s="223"/>
      <c r="V295" s="223"/>
    </row>
    <row r="296" spans="1:22" x14ac:dyDescent="0.2">
      <c r="A296" s="223"/>
      <c r="B296" s="223"/>
      <c r="C296" s="223"/>
      <c r="D296" s="223"/>
      <c r="E296" s="223"/>
      <c r="F296" s="223"/>
      <c r="G296" s="223"/>
      <c r="H296" s="223"/>
      <c r="I296" s="223"/>
      <c r="J296" s="223"/>
      <c r="K296" s="223"/>
      <c r="L296" s="223"/>
      <c r="M296" s="223"/>
      <c r="N296" s="223"/>
      <c r="O296" s="223"/>
      <c r="P296" s="223"/>
      <c r="Q296" s="223"/>
      <c r="R296" s="223"/>
      <c r="S296" s="223"/>
      <c r="T296" s="223"/>
      <c r="U296" s="223"/>
      <c r="V296" s="223"/>
    </row>
    <row r="297" spans="1:22" x14ac:dyDescent="0.2">
      <c r="A297" s="223"/>
      <c r="B297" s="223"/>
      <c r="C297" s="223"/>
      <c r="D297" s="223"/>
      <c r="E297" s="223"/>
      <c r="F297" s="223"/>
      <c r="G297" s="223"/>
      <c r="H297" s="223"/>
      <c r="I297" s="223"/>
      <c r="J297" s="223"/>
      <c r="K297" s="223"/>
      <c r="L297" s="223"/>
      <c r="M297" s="223"/>
      <c r="N297" s="223"/>
      <c r="O297" s="223"/>
      <c r="P297" s="223"/>
      <c r="Q297" s="223"/>
      <c r="R297" s="223"/>
      <c r="S297" s="223"/>
      <c r="T297" s="223"/>
      <c r="U297" s="223"/>
      <c r="V297" s="223"/>
    </row>
  </sheetData>
  <sheetProtection algorithmName="SHA-512" hashValue="X2YQC5XG2UfZzvmdBFR23ra1UjUOPj4fdeiXamWtNVf1bPowHMh28gSSGasvXkLICJwX3TCujNGVlIBSampOXg==" saltValue="C1E3x4Gzfr/j2shBqKKmWw==" spinCount="100000" sheet="1" objects="1" scenarios="1"/>
  <mergeCells count="10">
    <mergeCell ref="W1:AL2"/>
    <mergeCell ref="B2:K4"/>
    <mergeCell ref="AO13:AP13"/>
    <mergeCell ref="AQ13:AR13"/>
    <mergeCell ref="AA65:AJ73"/>
    <mergeCell ref="AS13:AT13"/>
    <mergeCell ref="AU13:AV13"/>
    <mergeCell ref="O36:R42"/>
    <mergeCell ref="O43:T48"/>
    <mergeCell ref="O50:T5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BDF82B-0AED-414C-A378-DC6A6D7B33BC}">
          <x14:formula1>
            <xm:f>'Data List'!$B$3:$B$4</xm:f>
          </x14:formula1>
          <xm:sqref>C9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C23C-AED3-488E-B5A7-E287324CC83A}">
  <sheetPr codeName="Sheet17"/>
  <dimension ref="A1:AV297"/>
  <sheetViews>
    <sheetView tabSelected="1" zoomScale="50" zoomScaleNormal="50" workbookViewId="0">
      <selection activeCell="V76" sqref="V76"/>
    </sheetView>
  </sheetViews>
  <sheetFormatPr baseColWidth="10" defaultColWidth="8.6640625" defaultRowHeight="15" x14ac:dyDescent="0.2"/>
  <cols>
    <col min="1" max="1" width="8.6640625" style="209"/>
    <col min="2" max="2" width="51.5" style="209" customWidth="1"/>
    <col min="3" max="3" width="20.6640625" style="209" customWidth="1"/>
    <col min="4" max="4" width="18.1640625" style="209" bestFit="1" customWidth="1"/>
    <col min="5" max="5" width="20.5" style="209" bestFit="1" customWidth="1"/>
    <col min="6" max="6" width="18.1640625" style="209" bestFit="1" customWidth="1"/>
    <col min="7" max="7" width="8.83203125" style="209" bestFit="1" customWidth="1"/>
    <col min="8" max="9" width="8.6640625" style="209"/>
    <col min="10" max="10" width="8.83203125" style="209" bestFit="1" customWidth="1"/>
    <col min="11" max="11" width="15.5" style="209" bestFit="1" customWidth="1"/>
    <col min="12" max="12" width="16.5" style="209" bestFit="1" customWidth="1"/>
    <col min="13" max="13" width="16.83203125" style="209" bestFit="1" customWidth="1"/>
    <col min="14" max="14" width="7.5" style="209" customWidth="1"/>
    <col min="15" max="15" width="9.5" style="209" bestFit="1" customWidth="1"/>
    <col min="16" max="16" width="8.83203125" style="209" bestFit="1" customWidth="1"/>
    <col min="17" max="17" width="11.5" style="209" bestFit="1" customWidth="1"/>
    <col min="18" max="18" width="17" style="209" customWidth="1"/>
    <col min="19" max="19" width="10.33203125" style="209" bestFit="1" customWidth="1"/>
    <col min="20" max="20" width="13.33203125" style="209" bestFit="1" customWidth="1"/>
    <col min="21" max="21" width="14.5" style="209" bestFit="1" customWidth="1"/>
    <col min="22" max="22" width="12.83203125" style="209" bestFit="1" customWidth="1"/>
    <col min="23" max="25" width="8.6640625" style="209"/>
    <col min="26" max="27" width="8.83203125" style="209" bestFit="1" customWidth="1"/>
    <col min="28" max="28" width="15.5" style="209" bestFit="1" customWidth="1"/>
    <col min="29" max="29" width="9.5" style="209" bestFit="1" customWidth="1"/>
    <col min="30" max="30" width="9.5" style="209" customWidth="1"/>
    <col min="31" max="31" width="8.83203125" style="209" bestFit="1" customWidth="1"/>
    <col min="32" max="39" width="8.6640625" style="209"/>
    <col min="40" max="40" width="13.5" style="209" customWidth="1"/>
    <col min="41" max="41" width="10.1640625" style="209" customWidth="1"/>
    <col min="42" max="42" width="12.5" style="209" bestFit="1" customWidth="1"/>
    <col min="43" max="43" width="11.1640625" style="209" bestFit="1" customWidth="1"/>
    <col min="44" max="44" width="13.5" style="209" bestFit="1" customWidth="1"/>
    <col min="45" max="45" width="11.1640625" style="209" bestFit="1" customWidth="1"/>
    <col min="46" max="46" width="13.5" style="209" bestFit="1" customWidth="1"/>
    <col min="47" max="47" width="11.1640625" style="209" bestFit="1" customWidth="1"/>
    <col min="48" max="48" width="13.5" style="209" bestFit="1" customWidth="1"/>
    <col min="49" max="16384" width="8.6640625" style="209"/>
  </cols>
  <sheetData>
    <row r="1" spans="1:48" ht="20" customHeight="1" x14ac:dyDescent="0.2">
      <c r="W1" s="285" t="s">
        <v>144</v>
      </c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</row>
    <row r="2" spans="1:48" ht="20" customHeight="1" x14ac:dyDescent="0.2">
      <c r="B2" s="294" t="s">
        <v>158</v>
      </c>
      <c r="C2" s="294"/>
      <c r="D2" s="294"/>
      <c r="E2" s="294"/>
      <c r="F2" s="294"/>
      <c r="G2" s="294"/>
      <c r="H2" s="294"/>
      <c r="I2" s="294"/>
      <c r="J2" s="294"/>
      <c r="K2" s="294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5"/>
      <c r="AH2" s="285"/>
      <c r="AI2" s="285"/>
      <c r="AJ2" s="285"/>
      <c r="AK2" s="285"/>
      <c r="AL2" s="285"/>
    </row>
    <row r="3" spans="1:48" ht="9.75" customHeight="1" x14ac:dyDescent="0.55000000000000004">
      <c r="B3" s="295"/>
      <c r="C3" s="295"/>
      <c r="D3" s="295"/>
      <c r="E3" s="295"/>
      <c r="F3" s="295"/>
      <c r="G3" s="295"/>
      <c r="H3" s="295"/>
      <c r="I3" s="295"/>
      <c r="J3" s="295"/>
      <c r="K3" s="295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</row>
    <row r="4" spans="1:48" ht="21" x14ac:dyDescent="0.25">
      <c r="A4" s="210"/>
      <c r="B4" s="296"/>
      <c r="C4" s="296"/>
      <c r="D4" s="296"/>
      <c r="E4" s="296"/>
      <c r="F4" s="296"/>
      <c r="G4" s="296"/>
      <c r="H4" s="296"/>
      <c r="I4" s="296"/>
      <c r="J4" s="296"/>
      <c r="K4" s="296"/>
    </row>
    <row r="5" spans="1:48" ht="21" x14ac:dyDescent="0.25">
      <c r="A5" s="210"/>
      <c r="G5" s="211"/>
      <c r="H5" s="212"/>
      <c r="I5" s="213"/>
    </row>
    <row r="6" spans="1:48" ht="31" x14ac:dyDescent="0.35">
      <c r="A6" s="210"/>
      <c r="B6" s="214" t="s">
        <v>120</v>
      </c>
      <c r="G6" s="210"/>
    </row>
    <row r="7" spans="1:48" ht="54" x14ac:dyDescent="0.25">
      <c r="A7" s="210"/>
      <c r="B7" s="170" t="s">
        <v>146</v>
      </c>
      <c r="C7" s="171"/>
      <c r="D7" s="171"/>
      <c r="E7" s="171"/>
      <c r="F7" s="172" t="s">
        <v>147</v>
      </c>
      <c r="G7" s="210"/>
    </row>
    <row r="8" spans="1:48" ht="26" x14ac:dyDescent="0.3">
      <c r="A8" s="210"/>
      <c r="B8" s="173" t="s">
        <v>114</v>
      </c>
      <c r="C8" s="174"/>
      <c r="D8" s="174"/>
      <c r="E8" s="174"/>
      <c r="F8" s="175">
        <f>SUBTOTAL(9,F9:F10)</f>
        <v>31500</v>
      </c>
      <c r="G8" s="210"/>
    </row>
    <row r="9" spans="1:48" ht="26" x14ac:dyDescent="0.3">
      <c r="A9" s="210"/>
      <c r="B9" s="176" t="s">
        <v>148</v>
      </c>
      <c r="C9" s="233" t="s">
        <v>149</v>
      </c>
      <c r="D9" s="234">
        <v>45</v>
      </c>
      <c r="E9" s="235">
        <v>700</v>
      </c>
      <c r="F9" s="177">
        <f>D9*E9</f>
        <v>31500</v>
      </c>
      <c r="G9" s="210"/>
    </row>
    <row r="10" spans="1:48" ht="26" x14ac:dyDescent="0.3">
      <c r="A10" s="210"/>
      <c r="B10" s="178"/>
      <c r="C10" s="179"/>
      <c r="D10" s="179"/>
      <c r="E10" s="179"/>
      <c r="F10" s="180"/>
      <c r="G10" s="210"/>
    </row>
    <row r="11" spans="1:48" s="216" customFormat="1" ht="26" x14ac:dyDescent="0.3">
      <c r="A11" s="215"/>
      <c r="B11" s="203"/>
      <c r="C11" s="204"/>
      <c r="D11" s="204"/>
      <c r="E11" s="204"/>
      <c r="F11" s="205"/>
      <c r="G11" s="215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</row>
    <row r="12" spans="1:48" ht="26" x14ac:dyDescent="0.3">
      <c r="A12" s="210"/>
      <c r="B12" s="181"/>
      <c r="C12" s="230"/>
      <c r="D12" s="208"/>
      <c r="E12" s="208"/>
      <c r="F12" s="182"/>
      <c r="G12" s="210"/>
      <c r="AB12" s="216"/>
      <c r="AC12" s="216"/>
      <c r="AD12" s="216"/>
      <c r="AE12" s="216"/>
      <c r="AF12" s="216"/>
      <c r="AG12" s="216"/>
      <c r="AH12" s="216"/>
      <c r="AI12" s="216"/>
      <c r="AJ12" s="216"/>
      <c r="AK12" s="216"/>
      <c r="AL12" s="216"/>
      <c r="AM12" s="216"/>
      <c r="AN12" s="216"/>
    </row>
    <row r="13" spans="1:48" ht="27" x14ac:dyDescent="0.3">
      <c r="A13" s="210"/>
      <c r="B13" s="206" t="s">
        <v>1</v>
      </c>
      <c r="C13" s="183" t="s">
        <v>109</v>
      </c>
      <c r="D13" s="183"/>
      <c r="E13" s="183"/>
      <c r="F13" s="207">
        <f>'Almonds Margin - Alternative'!BO7+F17</f>
        <v>14060.132</v>
      </c>
      <c r="G13" s="210"/>
      <c r="AO13" s="282"/>
      <c r="AP13" s="282"/>
      <c r="AQ13" s="282"/>
      <c r="AR13" s="282"/>
      <c r="AS13" s="282"/>
      <c r="AT13" s="282"/>
      <c r="AU13" s="282"/>
      <c r="AV13" s="282"/>
    </row>
    <row r="14" spans="1:48" ht="26" x14ac:dyDescent="0.3">
      <c r="A14" s="210"/>
      <c r="B14" s="174" t="s">
        <v>10</v>
      </c>
      <c r="C14" s="184" t="s">
        <v>150</v>
      </c>
      <c r="D14" s="236">
        <v>25</v>
      </c>
      <c r="E14" s="237">
        <v>45.49</v>
      </c>
      <c r="F14" s="185">
        <f>D14*E14</f>
        <v>1137.25</v>
      </c>
      <c r="G14" s="210"/>
      <c r="AN14" s="218"/>
      <c r="AO14" s="218"/>
      <c r="AP14" s="218"/>
      <c r="AQ14" s="218"/>
      <c r="AR14" s="218"/>
      <c r="AS14" s="218"/>
      <c r="AT14" s="218"/>
      <c r="AU14" s="218"/>
      <c r="AV14" s="218"/>
    </row>
    <row r="15" spans="1:48" ht="26" x14ac:dyDescent="0.3">
      <c r="A15" s="210"/>
      <c r="B15" s="174" t="s">
        <v>17</v>
      </c>
      <c r="C15" s="184" t="s">
        <v>151</v>
      </c>
      <c r="D15" s="238">
        <v>11</v>
      </c>
      <c r="E15" s="237">
        <v>113</v>
      </c>
      <c r="F15" s="185">
        <f>D15*E15</f>
        <v>1243</v>
      </c>
      <c r="G15" s="210"/>
    </row>
    <row r="16" spans="1:48" ht="26" x14ac:dyDescent="0.3">
      <c r="A16" s="210"/>
      <c r="B16" s="174" t="s">
        <v>152</v>
      </c>
      <c r="C16" s="184"/>
      <c r="D16" s="174"/>
      <c r="E16" s="186"/>
      <c r="F16" s="185">
        <f>F13-F14-F15</f>
        <v>11679.882</v>
      </c>
      <c r="G16" s="210"/>
    </row>
    <row r="17" spans="2:48" ht="26" x14ac:dyDescent="0.3">
      <c r="B17" s="174" t="s">
        <v>153</v>
      </c>
      <c r="C17" s="184" t="s">
        <v>154</v>
      </c>
      <c r="D17" s="239">
        <v>0</v>
      </c>
      <c r="E17" s="186"/>
      <c r="F17" s="185"/>
    </row>
    <row r="18" spans="2:48" x14ac:dyDescent="0.2">
      <c r="B18" s="219"/>
      <c r="C18" s="217"/>
      <c r="D18" s="202"/>
      <c r="E18" s="220"/>
    </row>
    <row r="19" spans="2:48" x14ac:dyDescent="0.2">
      <c r="B19" s="219"/>
      <c r="C19" s="217"/>
      <c r="E19" s="220"/>
      <c r="AO19" s="216"/>
      <c r="AP19" s="216"/>
      <c r="AQ19" s="216"/>
      <c r="AR19" s="216"/>
      <c r="AS19" s="216"/>
      <c r="AT19" s="216"/>
      <c r="AU19" s="216"/>
      <c r="AV19" s="216"/>
    </row>
    <row r="20" spans="2:48" x14ac:dyDescent="0.2">
      <c r="B20" s="219"/>
    </row>
    <row r="21" spans="2:48" x14ac:dyDescent="0.2">
      <c r="B21" s="219"/>
      <c r="C21" s="217"/>
      <c r="E21" s="220"/>
    </row>
    <row r="22" spans="2:48" x14ac:dyDescent="0.2">
      <c r="B22" s="219"/>
      <c r="C22" s="217"/>
      <c r="E22" s="220"/>
    </row>
    <row r="23" spans="2:48" x14ac:dyDescent="0.2">
      <c r="B23" s="219"/>
      <c r="C23" s="217"/>
      <c r="E23" s="220"/>
    </row>
    <row r="24" spans="2:48" x14ac:dyDescent="0.2">
      <c r="B24" s="219"/>
      <c r="C24" s="217"/>
      <c r="D24" s="221"/>
      <c r="E24" s="220"/>
    </row>
    <row r="25" spans="2:48" x14ac:dyDescent="0.2">
      <c r="B25" s="219"/>
      <c r="C25" s="217"/>
      <c r="E25" s="220"/>
    </row>
    <row r="26" spans="2:48" x14ac:dyDescent="0.2">
      <c r="B26" s="219"/>
      <c r="C26" s="217"/>
      <c r="E26" s="220"/>
    </row>
    <row r="27" spans="2:48" x14ac:dyDescent="0.2">
      <c r="B27" s="219"/>
      <c r="C27" s="217"/>
      <c r="E27" s="220"/>
    </row>
    <row r="28" spans="2:48" x14ac:dyDescent="0.2">
      <c r="B28" s="219"/>
      <c r="C28" s="217"/>
      <c r="E28" s="220"/>
    </row>
    <row r="29" spans="2:48" x14ac:dyDescent="0.2">
      <c r="C29" s="217"/>
      <c r="E29" s="220"/>
    </row>
    <row r="30" spans="2:48" x14ac:dyDescent="0.2">
      <c r="C30" s="217"/>
      <c r="E30" s="220"/>
    </row>
    <row r="31" spans="2:48" ht="14.5" customHeight="1" x14ac:dyDescent="0.2">
      <c r="C31" s="217"/>
      <c r="E31" s="220"/>
      <c r="M31" s="222"/>
      <c r="N31" s="222"/>
      <c r="O31" s="222"/>
      <c r="P31" s="222"/>
      <c r="Q31" s="222"/>
      <c r="R31" s="222"/>
      <c r="S31" s="222"/>
      <c r="T31" s="222"/>
    </row>
    <row r="32" spans="2:48" ht="14.5" customHeight="1" x14ac:dyDescent="0.2">
      <c r="C32" s="217"/>
      <c r="E32" s="220"/>
      <c r="M32" s="222"/>
      <c r="N32" s="222"/>
      <c r="O32" s="222"/>
      <c r="P32" s="222"/>
      <c r="Q32" s="222"/>
      <c r="R32" s="222"/>
      <c r="S32" s="222"/>
      <c r="T32" s="222"/>
    </row>
    <row r="33" spans="1:25" ht="14.5" customHeight="1" x14ac:dyDescent="0.2">
      <c r="C33" s="217"/>
      <c r="E33" s="220"/>
      <c r="M33" s="222"/>
      <c r="N33" s="222"/>
      <c r="O33" s="222"/>
      <c r="P33" s="222"/>
      <c r="Q33" s="222"/>
      <c r="R33" s="222"/>
      <c r="S33" s="222"/>
      <c r="T33" s="222"/>
    </row>
    <row r="34" spans="1:25" ht="14.5" customHeight="1" x14ac:dyDescent="0.2">
      <c r="E34" s="220"/>
      <c r="M34" s="222"/>
      <c r="N34" s="222"/>
      <c r="O34" s="222"/>
      <c r="P34" s="222"/>
      <c r="Q34" s="222"/>
      <c r="R34" s="222"/>
      <c r="S34" s="222"/>
      <c r="T34" s="222"/>
    </row>
    <row r="35" spans="1:25" ht="14.5" customHeight="1" x14ac:dyDescent="0.2">
      <c r="E35" s="220"/>
      <c r="M35" s="222"/>
      <c r="N35" s="222"/>
      <c r="O35" s="222"/>
      <c r="P35" s="222"/>
      <c r="Q35" s="222"/>
      <c r="R35" s="222"/>
      <c r="S35" s="222"/>
      <c r="T35" s="222"/>
    </row>
    <row r="36" spans="1:25" ht="14.5" customHeight="1" x14ac:dyDescent="0.2">
      <c r="M36" s="222"/>
      <c r="N36" s="222"/>
      <c r="O36" s="288"/>
      <c r="P36" s="288"/>
      <c r="Q36" s="288"/>
      <c r="R36" s="288"/>
      <c r="S36" s="222"/>
      <c r="T36" s="222"/>
    </row>
    <row r="37" spans="1:25" ht="14.5" customHeight="1" x14ac:dyDescent="0.2">
      <c r="M37" s="222"/>
      <c r="N37" s="222"/>
      <c r="O37" s="288"/>
      <c r="P37" s="288"/>
      <c r="Q37" s="288"/>
      <c r="R37" s="288"/>
      <c r="S37" s="222"/>
      <c r="T37" s="222"/>
    </row>
    <row r="38" spans="1:25" ht="14.5" customHeight="1" x14ac:dyDescent="0.2">
      <c r="M38" s="222"/>
      <c r="N38" s="222"/>
      <c r="O38" s="288"/>
      <c r="P38" s="288"/>
      <c r="Q38" s="288"/>
      <c r="R38" s="288"/>
      <c r="S38" s="222"/>
      <c r="T38" s="222"/>
    </row>
    <row r="39" spans="1:25" ht="14.5" customHeight="1" x14ac:dyDescent="0.2">
      <c r="M39" s="222"/>
      <c r="N39" s="222"/>
      <c r="O39" s="288"/>
      <c r="P39" s="288"/>
      <c r="Q39" s="288"/>
      <c r="R39" s="288"/>
      <c r="S39" s="222"/>
      <c r="T39" s="222"/>
    </row>
    <row r="40" spans="1:25" ht="14.5" customHeight="1" x14ac:dyDescent="0.2">
      <c r="M40" s="222"/>
      <c r="N40" s="222"/>
      <c r="O40" s="288"/>
      <c r="P40" s="288"/>
      <c r="Q40" s="288"/>
      <c r="R40" s="288"/>
      <c r="S40" s="222"/>
      <c r="T40" s="222"/>
    </row>
    <row r="41" spans="1:25" ht="14.5" customHeight="1" x14ac:dyDescent="0.2">
      <c r="M41" s="222"/>
      <c r="N41" s="222"/>
      <c r="O41" s="288"/>
      <c r="P41" s="288"/>
      <c r="Q41" s="288"/>
      <c r="R41" s="288"/>
      <c r="S41" s="222"/>
      <c r="T41" s="222"/>
    </row>
    <row r="42" spans="1:25" ht="14.5" customHeight="1" x14ac:dyDescent="0.2">
      <c r="M42" s="222"/>
      <c r="N42" s="222"/>
      <c r="O42" s="288"/>
      <c r="P42" s="288"/>
      <c r="Q42" s="288"/>
      <c r="R42" s="288"/>
      <c r="S42" s="222"/>
      <c r="T42" s="222"/>
    </row>
    <row r="43" spans="1:25" ht="14.5" customHeight="1" x14ac:dyDescent="0.2">
      <c r="M43" s="222"/>
      <c r="N43" s="222"/>
      <c r="O43" s="286" t="s">
        <v>155</v>
      </c>
      <c r="P43" s="286"/>
      <c r="Q43" s="286"/>
      <c r="R43" s="286"/>
      <c r="S43" s="286"/>
      <c r="T43" s="286"/>
    </row>
    <row r="44" spans="1:25" ht="14.5" customHeight="1" x14ac:dyDescent="0.2">
      <c r="M44" s="222"/>
      <c r="N44" s="222"/>
      <c r="O44" s="286"/>
      <c r="P44" s="286"/>
      <c r="Q44" s="286"/>
      <c r="R44" s="286"/>
      <c r="S44" s="286"/>
      <c r="T44" s="286"/>
    </row>
    <row r="45" spans="1:25" ht="23.25" customHeight="1" x14ac:dyDescent="0.2">
      <c r="M45" s="222"/>
      <c r="N45" s="222"/>
      <c r="O45" s="286"/>
      <c r="P45" s="286"/>
      <c r="Q45" s="286"/>
      <c r="R45" s="286"/>
      <c r="S45" s="286"/>
      <c r="T45" s="286"/>
    </row>
    <row r="46" spans="1:25" ht="14.5" customHeight="1" x14ac:dyDescent="0.2">
      <c r="A46" s="218"/>
      <c r="B46" s="218"/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22"/>
      <c r="N46" s="222"/>
      <c r="O46" s="286"/>
      <c r="P46" s="286"/>
      <c r="Q46" s="286"/>
      <c r="R46" s="286"/>
      <c r="S46" s="286"/>
      <c r="T46" s="286"/>
    </row>
    <row r="47" spans="1:25" ht="14.5" customHeight="1" x14ac:dyDescent="0.2">
      <c r="A47" s="223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2"/>
      <c r="N47" s="222"/>
      <c r="O47" s="286"/>
      <c r="P47" s="286"/>
      <c r="Q47" s="286"/>
      <c r="R47" s="286"/>
      <c r="S47" s="286"/>
      <c r="T47" s="286"/>
      <c r="U47" s="223"/>
      <c r="V47" s="223"/>
      <c r="W47" s="224"/>
      <c r="X47" s="224"/>
      <c r="Y47" s="224"/>
    </row>
    <row r="48" spans="1:25" ht="14.5" customHeight="1" x14ac:dyDescent="0.2"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2"/>
      <c r="N48" s="222"/>
      <c r="O48" s="286"/>
      <c r="P48" s="286"/>
      <c r="Q48" s="286"/>
      <c r="R48" s="286"/>
      <c r="S48" s="286"/>
      <c r="T48" s="286"/>
    </row>
    <row r="49" spans="3:23" ht="14.5" customHeight="1" x14ac:dyDescent="0.2">
      <c r="C49" s="225"/>
      <c r="D49" s="225"/>
      <c r="E49" s="225"/>
      <c r="F49" s="225"/>
      <c r="G49" s="225"/>
      <c r="M49" s="226"/>
      <c r="N49" s="226"/>
      <c r="O49" s="232"/>
      <c r="P49" s="232"/>
      <c r="Q49" s="232"/>
      <c r="R49" s="232"/>
      <c r="S49" s="226"/>
      <c r="T49" s="226"/>
    </row>
    <row r="50" spans="3:23" ht="14.5" customHeight="1" x14ac:dyDescent="0.2">
      <c r="C50" s="217"/>
      <c r="D50" s="217"/>
      <c r="E50" s="217"/>
      <c r="F50" s="217"/>
      <c r="G50" s="227"/>
      <c r="H50" s="227"/>
      <c r="I50" s="227"/>
      <c r="J50" s="227"/>
      <c r="K50" s="227"/>
      <c r="L50" s="227"/>
      <c r="M50" s="226"/>
      <c r="N50" s="226"/>
      <c r="O50" s="287">
        <f>'Main Variables'!BF4</f>
        <v>29.265229629629626</v>
      </c>
      <c r="P50" s="287"/>
      <c r="Q50" s="287"/>
      <c r="R50" s="287"/>
      <c r="S50" s="287"/>
      <c r="T50" s="287"/>
    </row>
    <row r="51" spans="3:23" ht="14.5" customHeight="1" x14ac:dyDescent="0.2">
      <c r="C51" s="228"/>
      <c r="D51" s="228"/>
      <c r="E51" s="228"/>
      <c r="F51" s="228"/>
      <c r="G51" s="229"/>
      <c r="M51" s="226"/>
      <c r="N51" s="226"/>
      <c r="O51" s="287"/>
      <c r="P51" s="287"/>
      <c r="Q51" s="287"/>
      <c r="R51" s="287"/>
      <c r="S51" s="287"/>
      <c r="T51" s="287"/>
      <c r="U51" s="217"/>
      <c r="V51" s="217"/>
      <c r="W51" s="217"/>
    </row>
    <row r="52" spans="3:23" ht="14.5" customHeight="1" x14ac:dyDescent="0.2">
      <c r="C52" s="228"/>
      <c r="D52" s="228"/>
      <c r="E52" s="228"/>
      <c r="F52" s="228"/>
      <c r="G52" s="229"/>
      <c r="M52" s="226"/>
      <c r="N52" s="226"/>
      <c r="O52" s="287"/>
      <c r="P52" s="287"/>
      <c r="Q52" s="287"/>
      <c r="R52" s="287"/>
      <c r="S52" s="287"/>
      <c r="T52" s="287"/>
      <c r="U52" s="229"/>
      <c r="V52" s="229"/>
      <c r="W52" s="229"/>
    </row>
    <row r="53" spans="3:23" ht="14.5" customHeight="1" x14ac:dyDescent="0.2">
      <c r="C53" s="228"/>
      <c r="D53" s="228"/>
      <c r="E53" s="228"/>
      <c r="F53" s="228"/>
      <c r="G53" s="229"/>
      <c r="M53" s="226"/>
      <c r="N53" s="226"/>
      <c r="O53" s="287"/>
      <c r="P53" s="287"/>
      <c r="Q53" s="287"/>
      <c r="R53" s="287"/>
      <c r="S53" s="287"/>
      <c r="T53" s="287"/>
      <c r="U53" s="229"/>
      <c r="V53" s="229"/>
      <c r="W53" s="229"/>
    </row>
    <row r="54" spans="3:23" ht="14.5" customHeight="1" x14ac:dyDescent="0.2">
      <c r="C54" s="228"/>
      <c r="D54" s="228"/>
      <c r="E54" s="228"/>
      <c r="F54" s="228"/>
      <c r="G54" s="229"/>
      <c r="M54" s="226"/>
      <c r="N54" s="226"/>
      <c r="O54" s="226"/>
      <c r="P54" s="226"/>
      <c r="Q54" s="226"/>
      <c r="R54" s="226"/>
      <c r="S54" s="226"/>
      <c r="T54" s="226"/>
      <c r="U54" s="229"/>
      <c r="V54" s="229"/>
      <c r="W54" s="229"/>
    </row>
    <row r="55" spans="3:23" ht="14.5" customHeight="1" x14ac:dyDescent="0.2">
      <c r="C55" s="228"/>
      <c r="D55" s="228"/>
      <c r="E55" s="228"/>
      <c r="F55" s="228"/>
      <c r="G55" s="229"/>
      <c r="M55" s="226"/>
      <c r="N55" s="226"/>
      <c r="O55" s="226"/>
      <c r="P55" s="226"/>
      <c r="Q55" s="226"/>
      <c r="R55" s="226"/>
      <c r="S55" s="226"/>
      <c r="T55" s="226"/>
      <c r="U55" s="229"/>
      <c r="V55" s="229"/>
      <c r="W55" s="229"/>
    </row>
    <row r="56" spans="3:23" ht="14.5" customHeight="1" x14ac:dyDescent="0.2">
      <c r="C56" s="228"/>
      <c r="D56" s="228"/>
      <c r="E56" s="228"/>
      <c r="F56" s="228"/>
      <c r="G56" s="229"/>
      <c r="M56" s="226"/>
      <c r="N56" s="226"/>
      <c r="O56" s="226"/>
      <c r="P56" s="226"/>
      <c r="Q56" s="226"/>
      <c r="R56" s="226"/>
      <c r="S56" s="226"/>
      <c r="T56" s="226"/>
      <c r="U56" s="229"/>
      <c r="V56" s="229"/>
      <c r="W56" s="229"/>
    </row>
    <row r="57" spans="3:23" ht="14.5" customHeight="1" x14ac:dyDescent="0.2">
      <c r="C57" s="228"/>
      <c r="D57" s="228"/>
      <c r="E57" s="228"/>
      <c r="F57" s="228"/>
      <c r="G57" s="229"/>
      <c r="M57" s="226"/>
      <c r="N57" s="226"/>
      <c r="O57" s="226"/>
      <c r="P57" s="226"/>
      <c r="Q57" s="226"/>
      <c r="R57" s="226"/>
      <c r="S57" s="226"/>
      <c r="T57" s="226"/>
      <c r="U57" s="229"/>
      <c r="V57" s="229"/>
      <c r="W57" s="229"/>
    </row>
    <row r="58" spans="3:23" x14ac:dyDescent="0.2">
      <c r="C58" s="228"/>
      <c r="D58" s="228"/>
      <c r="E58" s="228"/>
      <c r="F58" s="228"/>
      <c r="G58" s="229"/>
      <c r="R58" s="229"/>
      <c r="S58" s="229"/>
      <c r="T58" s="229"/>
      <c r="U58" s="229"/>
      <c r="V58" s="229"/>
      <c r="W58" s="229"/>
    </row>
    <row r="59" spans="3:23" x14ac:dyDescent="0.2">
      <c r="C59" s="228"/>
      <c r="D59" s="228"/>
      <c r="E59" s="228"/>
      <c r="F59" s="228"/>
      <c r="G59" s="229"/>
      <c r="R59" s="229"/>
      <c r="S59" s="229"/>
      <c r="T59" s="229"/>
      <c r="U59" s="229"/>
      <c r="V59" s="229"/>
      <c r="W59" s="229"/>
    </row>
    <row r="60" spans="3:23" x14ac:dyDescent="0.2">
      <c r="C60" s="228"/>
      <c r="D60" s="228"/>
      <c r="E60" s="228"/>
      <c r="F60" s="228"/>
      <c r="G60" s="229"/>
      <c r="R60" s="229"/>
      <c r="S60" s="229"/>
      <c r="T60" s="229"/>
      <c r="U60" s="229"/>
      <c r="V60" s="229"/>
      <c r="W60" s="229"/>
    </row>
    <row r="61" spans="3:23" x14ac:dyDescent="0.2">
      <c r="C61" s="228"/>
      <c r="D61" s="228"/>
      <c r="E61" s="228"/>
      <c r="F61" s="228"/>
      <c r="G61" s="229"/>
      <c r="R61" s="229"/>
      <c r="S61" s="229"/>
      <c r="T61" s="229"/>
      <c r="U61" s="229"/>
      <c r="V61" s="229"/>
      <c r="W61" s="229"/>
    </row>
    <row r="62" spans="3:23" x14ac:dyDescent="0.2">
      <c r="C62" s="228"/>
      <c r="D62" s="228"/>
      <c r="E62" s="228"/>
      <c r="F62" s="228"/>
      <c r="G62" s="229"/>
      <c r="R62" s="229"/>
      <c r="S62" s="229"/>
      <c r="T62" s="229"/>
      <c r="U62" s="229"/>
      <c r="V62" s="229"/>
      <c r="W62" s="229"/>
    </row>
    <row r="63" spans="3:23" s="306" customFormat="1" x14ac:dyDescent="0.2">
      <c r="C63" s="307"/>
      <c r="D63" s="307"/>
      <c r="E63" s="307"/>
      <c r="F63" s="307"/>
      <c r="G63" s="308"/>
      <c r="R63" s="308"/>
      <c r="S63" s="308"/>
      <c r="T63" s="308"/>
      <c r="U63" s="308"/>
      <c r="V63" s="308"/>
      <c r="W63" s="308"/>
    </row>
    <row r="64" spans="3:23" x14ac:dyDescent="0.2">
      <c r="C64" s="228"/>
      <c r="D64" s="228"/>
      <c r="E64" s="228"/>
      <c r="F64" s="228"/>
      <c r="G64" s="229"/>
      <c r="R64" s="229"/>
      <c r="S64" s="229"/>
      <c r="T64" s="229"/>
      <c r="U64" s="229"/>
      <c r="V64" s="229"/>
      <c r="W64" s="229"/>
    </row>
    <row r="65" spans="3:36" x14ac:dyDescent="0.2">
      <c r="C65" s="228"/>
      <c r="D65" s="228"/>
      <c r="E65" s="228"/>
      <c r="F65" s="228"/>
      <c r="G65" s="229"/>
      <c r="R65" s="229"/>
      <c r="S65" s="229"/>
      <c r="T65" s="229"/>
      <c r="U65" s="229"/>
      <c r="V65" s="229"/>
      <c r="W65" s="229"/>
      <c r="AA65" s="305" t="s">
        <v>215</v>
      </c>
      <c r="AB65" s="305"/>
      <c r="AC65" s="305"/>
      <c r="AD65" s="305"/>
      <c r="AE65" s="305"/>
      <c r="AF65" s="305"/>
      <c r="AG65" s="305"/>
      <c r="AH65" s="305"/>
      <c r="AI65" s="305"/>
      <c r="AJ65" s="305"/>
    </row>
    <row r="66" spans="3:36" x14ac:dyDescent="0.2">
      <c r="C66" s="228"/>
      <c r="D66" s="228"/>
      <c r="E66" s="228"/>
      <c r="F66" s="228"/>
      <c r="G66" s="229"/>
      <c r="R66" s="229"/>
      <c r="S66" s="229"/>
      <c r="T66" s="229"/>
      <c r="U66" s="229"/>
      <c r="V66" s="229"/>
      <c r="W66" s="229"/>
      <c r="AA66" s="305"/>
      <c r="AB66" s="305"/>
      <c r="AC66" s="305"/>
      <c r="AD66" s="305"/>
      <c r="AE66" s="305"/>
      <c r="AF66" s="305"/>
      <c r="AG66" s="305"/>
      <c r="AH66" s="305"/>
      <c r="AI66" s="305"/>
      <c r="AJ66" s="305"/>
    </row>
    <row r="67" spans="3:36" x14ac:dyDescent="0.2">
      <c r="C67" s="228"/>
      <c r="D67" s="228"/>
      <c r="E67" s="228"/>
      <c r="F67" s="228"/>
      <c r="G67" s="229"/>
      <c r="R67" s="229"/>
      <c r="S67" s="229"/>
      <c r="T67" s="229"/>
      <c r="U67" s="229"/>
      <c r="V67" s="229"/>
      <c r="W67" s="229"/>
      <c r="AA67" s="305"/>
      <c r="AB67" s="305"/>
      <c r="AC67" s="305"/>
      <c r="AD67" s="305"/>
      <c r="AE67" s="305"/>
      <c r="AF67" s="305"/>
      <c r="AG67" s="305"/>
      <c r="AH67" s="305"/>
      <c r="AI67" s="305"/>
      <c r="AJ67" s="305"/>
    </row>
    <row r="68" spans="3:36" x14ac:dyDescent="0.2">
      <c r="C68" s="228"/>
      <c r="D68" s="228"/>
      <c r="E68" s="228"/>
      <c r="F68" s="228"/>
      <c r="G68" s="229"/>
      <c r="R68" s="229"/>
      <c r="S68" s="229"/>
      <c r="T68" s="229"/>
      <c r="U68" s="229"/>
      <c r="V68" s="229"/>
      <c r="W68" s="229"/>
      <c r="AA68" s="305"/>
      <c r="AB68" s="305"/>
      <c r="AC68" s="305"/>
      <c r="AD68" s="305"/>
      <c r="AE68" s="305"/>
      <c r="AF68" s="305"/>
      <c r="AG68" s="305"/>
      <c r="AH68" s="305"/>
      <c r="AI68" s="305"/>
      <c r="AJ68" s="305"/>
    </row>
    <row r="69" spans="3:36" x14ac:dyDescent="0.2">
      <c r="C69" s="228"/>
      <c r="D69" s="228"/>
      <c r="E69" s="228"/>
      <c r="F69" s="228"/>
      <c r="G69" s="229"/>
      <c r="R69" s="229"/>
      <c r="S69" s="229"/>
      <c r="T69" s="229"/>
      <c r="U69" s="229"/>
      <c r="V69" s="229"/>
      <c r="W69" s="229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</row>
    <row r="70" spans="3:36" x14ac:dyDescent="0.2">
      <c r="C70" s="228"/>
      <c r="D70" s="228"/>
      <c r="E70" s="228"/>
      <c r="F70" s="228"/>
      <c r="G70" s="229"/>
      <c r="R70" s="229"/>
      <c r="S70" s="229"/>
      <c r="T70" s="229"/>
      <c r="U70" s="229"/>
      <c r="V70" s="229"/>
      <c r="W70" s="229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</row>
    <row r="71" spans="3:36" x14ac:dyDescent="0.2">
      <c r="C71" s="228"/>
      <c r="D71" s="228"/>
      <c r="E71" s="228"/>
      <c r="F71" s="228"/>
      <c r="G71" s="229"/>
      <c r="R71" s="229"/>
      <c r="S71" s="229"/>
      <c r="T71" s="229"/>
      <c r="U71" s="229"/>
      <c r="V71" s="229"/>
      <c r="W71" s="229"/>
      <c r="AA71" s="305"/>
      <c r="AB71" s="305"/>
      <c r="AC71" s="305"/>
      <c r="AD71" s="305"/>
      <c r="AE71" s="305"/>
      <c r="AF71" s="305"/>
      <c r="AG71" s="305"/>
      <c r="AH71" s="305"/>
      <c r="AI71" s="305"/>
      <c r="AJ71" s="305"/>
    </row>
    <row r="72" spans="3:36" x14ac:dyDescent="0.2">
      <c r="C72" s="228"/>
      <c r="D72" s="228"/>
      <c r="E72" s="228"/>
      <c r="F72" s="228"/>
      <c r="G72" s="229"/>
      <c r="R72" s="229"/>
      <c r="S72" s="229"/>
      <c r="T72" s="229"/>
      <c r="U72" s="229"/>
      <c r="V72" s="229"/>
      <c r="W72" s="229"/>
      <c r="AA72" s="305"/>
      <c r="AB72" s="305"/>
      <c r="AC72" s="305"/>
      <c r="AD72" s="305"/>
      <c r="AE72" s="305"/>
      <c r="AF72" s="305"/>
      <c r="AG72" s="305"/>
      <c r="AH72" s="305"/>
      <c r="AI72" s="305"/>
      <c r="AJ72" s="305"/>
    </row>
    <row r="73" spans="3:36" x14ac:dyDescent="0.2">
      <c r="C73" s="228"/>
      <c r="D73" s="228"/>
      <c r="E73" s="228"/>
      <c r="F73" s="228"/>
      <c r="G73" s="229"/>
      <c r="R73" s="229"/>
      <c r="S73" s="229"/>
      <c r="T73" s="229"/>
      <c r="U73" s="229"/>
      <c r="V73" s="229"/>
      <c r="W73" s="229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</row>
    <row r="74" spans="3:36" x14ac:dyDescent="0.2">
      <c r="C74" s="228"/>
      <c r="D74" s="228"/>
      <c r="E74" s="228"/>
      <c r="F74" s="228"/>
      <c r="G74" s="229"/>
      <c r="R74" s="229"/>
      <c r="S74" s="229"/>
      <c r="T74" s="229"/>
      <c r="U74" s="229"/>
      <c r="V74" s="229"/>
      <c r="W74" s="229"/>
    </row>
    <row r="75" spans="3:36" x14ac:dyDescent="0.2">
      <c r="C75" s="228"/>
      <c r="D75" s="228"/>
      <c r="E75" s="228"/>
      <c r="F75" s="228"/>
      <c r="G75" s="229"/>
      <c r="R75" s="229"/>
      <c r="S75" s="229"/>
      <c r="T75" s="229"/>
      <c r="U75" s="229"/>
      <c r="V75" s="229"/>
      <c r="W75" s="229"/>
    </row>
    <row r="76" spans="3:36" x14ac:dyDescent="0.2">
      <c r="C76" s="228"/>
      <c r="D76" s="228"/>
      <c r="E76" s="228"/>
      <c r="F76" s="228"/>
      <c r="G76" s="229"/>
      <c r="R76" s="229"/>
      <c r="S76" s="229"/>
      <c r="T76" s="229"/>
      <c r="U76" s="229"/>
      <c r="V76" s="229"/>
      <c r="W76" s="229"/>
    </row>
    <row r="77" spans="3:36" x14ac:dyDescent="0.2">
      <c r="C77" s="228"/>
      <c r="D77" s="228"/>
      <c r="E77" s="228"/>
      <c r="F77" s="228"/>
      <c r="G77" s="229"/>
      <c r="R77" s="229"/>
      <c r="S77" s="229"/>
      <c r="T77" s="229"/>
      <c r="U77" s="229"/>
      <c r="V77" s="229"/>
      <c r="W77" s="229"/>
    </row>
    <row r="78" spans="3:36" x14ac:dyDescent="0.2">
      <c r="C78" s="228"/>
      <c r="D78" s="228"/>
      <c r="E78" s="228"/>
      <c r="F78" s="228"/>
      <c r="G78" s="229"/>
      <c r="R78" s="229"/>
      <c r="S78" s="229"/>
      <c r="T78" s="229"/>
      <c r="U78" s="229"/>
      <c r="V78" s="229"/>
      <c r="W78" s="229"/>
    </row>
    <row r="79" spans="3:36" x14ac:dyDescent="0.2">
      <c r="C79" s="228"/>
      <c r="D79" s="228"/>
      <c r="E79" s="228"/>
      <c r="F79" s="228"/>
      <c r="G79" s="229"/>
      <c r="R79" s="229"/>
      <c r="S79" s="229"/>
      <c r="T79" s="229"/>
      <c r="U79" s="229"/>
      <c r="V79" s="229"/>
      <c r="W79" s="229"/>
    </row>
    <row r="80" spans="3:36" x14ac:dyDescent="0.2">
      <c r="C80" s="228"/>
      <c r="D80" s="228"/>
      <c r="E80" s="228"/>
      <c r="F80" s="228"/>
      <c r="G80" s="229"/>
      <c r="R80" s="229"/>
      <c r="S80" s="229"/>
      <c r="T80" s="229"/>
      <c r="U80" s="229"/>
      <c r="V80" s="229"/>
      <c r="W80" s="229"/>
    </row>
    <row r="81" spans="26:31" x14ac:dyDescent="0.2">
      <c r="Z81" s="229"/>
      <c r="AA81" s="229"/>
      <c r="AB81" s="229"/>
      <c r="AC81" s="229"/>
      <c r="AD81" s="229"/>
      <c r="AE81" s="229"/>
    </row>
    <row r="109" spans="1:22" x14ac:dyDescent="0.2">
      <c r="A109" s="223"/>
      <c r="B109" s="223"/>
      <c r="C109" s="223"/>
      <c r="D109" s="223"/>
      <c r="E109" s="223"/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</row>
    <row r="110" spans="1:22" x14ac:dyDescent="0.2">
      <c r="A110" s="223"/>
      <c r="B110" s="223"/>
      <c r="C110" s="223"/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</row>
    <row r="111" spans="1:22" x14ac:dyDescent="0.2">
      <c r="A111" s="223"/>
      <c r="B111" s="223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223"/>
      <c r="S111" s="223"/>
      <c r="T111" s="223"/>
      <c r="U111" s="223"/>
      <c r="V111" s="223"/>
    </row>
    <row r="112" spans="1:22" x14ac:dyDescent="0.2">
      <c r="A112" s="223"/>
      <c r="B112" s="223"/>
      <c r="C112" s="223"/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</row>
    <row r="113" spans="1:22" x14ac:dyDescent="0.2">
      <c r="A113" s="223"/>
      <c r="B113" s="223"/>
      <c r="C113" s="223"/>
      <c r="D113" s="223"/>
      <c r="E113" s="223"/>
      <c r="F113" s="223"/>
      <c r="G113" s="223"/>
      <c r="H113" s="223"/>
      <c r="I113" s="223"/>
      <c r="J113" s="223"/>
      <c r="K113" s="223"/>
      <c r="L113" s="223"/>
      <c r="M113" s="223"/>
      <c r="N113" s="223"/>
      <c r="O113" s="223"/>
      <c r="P113" s="223"/>
      <c r="Q113" s="223"/>
      <c r="R113" s="223"/>
      <c r="S113" s="223"/>
      <c r="T113" s="223"/>
      <c r="U113" s="223"/>
      <c r="V113" s="223"/>
    </row>
    <row r="114" spans="1:22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</row>
    <row r="115" spans="1:22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</row>
    <row r="116" spans="1:22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</row>
    <row r="117" spans="1:22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</row>
    <row r="118" spans="1:22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</row>
    <row r="119" spans="1:22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</row>
    <row r="120" spans="1:22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</row>
    <row r="121" spans="1:22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</row>
    <row r="122" spans="1:22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</row>
    <row r="123" spans="1:22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</row>
    <row r="124" spans="1:22" x14ac:dyDescent="0.2">
      <c r="A124" s="223"/>
      <c r="B124" s="223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</row>
    <row r="125" spans="1:22" x14ac:dyDescent="0.2">
      <c r="A125" s="223"/>
      <c r="B125" s="223"/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</row>
    <row r="126" spans="1:22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</row>
    <row r="127" spans="1:22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</row>
    <row r="128" spans="1:22" x14ac:dyDescent="0.2">
      <c r="A128" s="223"/>
      <c r="B128" s="223"/>
      <c r="C128" s="223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</row>
    <row r="129" spans="1:22" x14ac:dyDescent="0.2">
      <c r="A129" s="223"/>
      <c r="B129" s="223"/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</row>
    <row r="130" spans="1:22" x14ac:dyDescent="0.2">
      <c r="A130" s="223"/>
      <c r="B130" s="223"/>
      <c r="C130" s="223"/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</row>
    <row r="131" spans="1:22" x14ac:dyDescent="0.2">
      <c r="A131" s="223"/>
      <c r="B131" s="223"/>
      <c r="C131" s="223"/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</row>
    <row r="132" spans="1:22" x14ac:dyDescent="0.2">
      <c r="A132" s="223"/>
      <c r="B132" s="223"/>
      <c r="C132" s="223"/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3"/>
      <c r="S132" s="223"/>
      <c r="T132" s="223"/>
      <c r="U132" s="223"/>
      <c r="V132" s="223"/>
    </row>
    <row r="133" spans="1:22" x14ac:dyDescent="0.2">
      <c r="A133" s="223"/>
      <c r="B133" s="223"/>
      <c r="C133" s="223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3"/>
      <c r="S133" s="223"/>
      <c r="T133" s="223"/>
      <c r="U133" s="223"/>
      <c r="V133" s="223"/>
    </row>
    <row r="134" spans="1:22" x14ac:dyDescent="0.2">
      <c r="A134" s="223"/>
      <c r="B134" s="223"/>
      <c r="C134" s="223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</row>
    <row r="135" spans="1:22" x14ac:dyDescent="0.2">
      <c r="A135" s="223"/>
      <c r="B135" s="223"/>
      <c r="C135" s="223"/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</row>
    <row r="136" spans="1:22" x14ac:dyDescent="0.2">
      <c r="A136" s="223"/>
      <c r="B136" s="223"/>
      <c r="C136" s="223"/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</row>
    <row r="137" spans="1:22" x14ac:dyDescent="0.2">
      <c r="A137" s="223"/>
      <c r="B137" s="223"/>
      <c r="C137" s="223"/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</row>
    <row r="138" spans="1:22" x14ac:dyDescent="0.2">
      <c r="A138" s="223"/>
      <c r="B138" s="223"/>
      <c r="C138" s="223"/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</row>
    <row r="139" spans="1:22" x14ac:dyDescent="0.2">
      <c r="A139" s="223"/>
      <c r="B139" s="223"/>
      <c r="C139" s="223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</row>
    <row r="140" spans="1:22" x14ac:dyDescent="0.2">
      <c r="A140" s="223"/>
      <c r="B140" s="223"/>
      <c r="C140" s="223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</row>
    <row r="141" spans="1:22" x14ac:dyDescent="0.2">
      <c r="A141" s="223"/>
      <c r="B141" s="223"/>
      <c r="C141" s="223"/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</row>
    <row r="142" spans="1:22" x14ac:dyDescent="0.2">
      <c r="A142" s="223"/>
      <c r="B142" s="223"/>
      <c r="C142" s="223"/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</row>
    <row r="143" spans="1:22" x14ac:dyDescent="0.2">
      <c r="A143" s="223"/>
      <c r="B143" s="223"/>
      <c r="C143" s="223"/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</row>
    <row r="144" spans="1:22" x14ac:dyDescent="0.2">
      <c r="A144" s="223"/>
      <c r="B144" s="223"/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</row>
    <row r="145" spans="1:22" x14ac:dyDescent="0.2">
      <c r="A145" s="223"/>
      <c r="B145" s="223"/>
      <c r="C145" s="223"/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</row>
    <row r="146" spans="1:22" x14ac:dyDescent="0.2">
      <c r="A146" s="223"/>
      <c r="B146" s="223"/>
      <c r="C146" s="223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</row>
    <row r="147" spans="1:22" x14ac:dyDescent="0.2">
      <c r="A147" s="223"/>
      <c r="B147" s="223"/>
      <c r="C147" s="223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</row>
    <row r="148" spans="1:22" x14ac:dyDescent="0.2">
      <c r="A148" s="223"/>
      <c r="B148" s="223"/>
      <c r="C148" s="223"/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</row>
    <row r="149" spans="1:22" x14ac:dyDescent="0.2">
      <c r="A149" s="223"/>
      <c r="B149" s="223"/>
      <c r="C149" s="223"/>
      <c r="D149" s="223"/>
      <c r="E149" s="223"/>
      <c r="F149" s="223"/>
      <c r="G149" s="223"/>
      <c r="H149" s="223"/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</row>
    <row r="150" spans="1:22" x14ac:dyDescent="0.2">
      <c r="A150" s="223"/>
      <c r="B150" s="223"/>
      <c r="C150" s="223"/>
      <c r="D150" s="223"/>
      <c r="E150" s="223"/>
      <c r="F150" s="223"/>
      <c r="G150" s="223"/>
      <c r="H150" s="223"/>
      <c r="I150" s="223"/>
      <c r="J150" s="223"/>
      <c r="K150" s="223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</row>
    <row r="151" spans="1:22" x14ac:dyDescent="0.2">
      <c r="A151" s="223"/>
      <c r="B151" s="223"/>
      <c r="C151" s="223"/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</row>
    <row r="152" spans="1:22" x14ac:dyDescent="0.2">
      <c r="A152" s="223"/>
      <c r="B152" s="223"/>
      <c r="C152" s="223"/>
      <c r="D152" s="223"/>
      <c r="E152" s="223"/>
      <c r="F152" s="223"/>
      <c r="G152" s="223"/>
      <c r="H152" s="223"/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</row>
    <row r="153" spans="1:22" x14ac:dyDescent="0.2">
      <c r="A153" s="223"/>
      <c r="B153" s="223"/>
      <c r="C153" s="223"/>
      <c r="D153" s="223"/>
      <c r="E153" s="223"/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</row>
    <row r="154" spans="1:22" x14ac:dyDescent="0.2">
      <c r="A154" s="223"/>
      <c r="B154" s="223"/>
      <c r="C154" s="223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3"/>
      <c r="S154" s="223"/>
      <c r="T154" s="223"/>
      <c r="U154" s="223"/>
      <c r="V154" s="223"/>
    </row>
    <row r="155" spans="1:22" x14ac:dyDescent="0.2">
      <c r="A155" s="223"/>
      <c r="B155" s="223"/>
      <c r="C155" s="223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</row>
    <row r="156" spans="1:22" x14ac:dyDescent="0.2">
      <c r="A156" s="223"/>
      <c r="B156" s="223"/>
      <c r="C156" s="223"/>
      <c r="D156" s="223"/>
      <c r="E156" s="223"/>
      <c r="F156" s="223"/>
      <c r="G156" s="223"/>
      <c r="H156" s="223"/>
      <c r="I156" s="223"/>
      <c r="J156" s="223"/>
      <c r="K156" s="223"/>
      <c r="L156" s="223"/>
      <c r="M156" s="223"/>
      <c r="N156" s="223"/>
      <c r="O156" s="223"/>
      <c r="P156" s="223"/>
      <c r="Q156" s="223"/>
      <c r="R156" s="223"/>
      <c r="S156" s="223"/>
      <c r="T156" s="223"/>
      <c r="U156" s="223"/>
      <c r="V156" s="223"/>
    </row>
    <row r="157" spans="1:22" x14ac:dyDescent="0.2">
      <c r="A157" s="223"/>
      <c r="B157" s="223"/>
      <c r="C157" s="223"/>
      <c r="D157" s="223"/>
      <c r="E157" s="223"/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</row>
    <row r="158" spans="1:22" x14ac:dyDescent="0.2">
      <c r="A158" s="223"/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</row>
    <row r="159" spans="1:22" x14ac:dyDescent="0.2">
      <c r="A159" s="223"/>
      <c r="B159" s="223"/>
      <c r="C159" s="223"/>
      <c r="D159" s="223"/>
      <c r="E159" s="223"/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</row>
    <row r="160" spans="1:22" x14ac:dyDescent="0.2">
      <c r="A160" s="223"/>
      <c r="B160" s="223"/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</row>
    <row r="161" spans="1:22" x14ac:dyDescent="0.2">
      <c r="A161" s="223"/>
      <c r="B161" s="223"/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</row>
    <row r="162" spans="1:22" x14ac:dyDescent="0.2">
      <c r="A162" s="223"/>
      <c r="B162" s="223"/>
      <c r="C162" s="223"/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</row>
    <row r="163" spans="1:22" x14ac:dyDescent="0.2">
      <c r="A163" s="223"/>
      <c r="B163" s="223"/>
      <c r="C163" s="223"/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</row>
    <row r="164" spans="1:22" x14ac:dyDescent="0.2">
      <c r="A164" s="223"/>
      <c r="B164" s="223"/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</row>
    <row r="165" spans="1:22" x14ac:dyDescent="0.2">
      <c r="A165" s="223"/>
      <c r="B165" s="223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</row>
    <row r="166" spans="1:22" x14ac:dyDescent="0.2">
      <c r="A166" s="223"/>
      <c r="B166" s="223"/>
      <c r="C166" s="223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</row>
    <row r="167" spans="1:22" x14ac:dyDescent="0.2">
      <c r="A167" s="223"/>
      <c r="B167" s="223"/>
      <c r="C167" s="223"/>
      <c r="D167" s="223"/>
      <c r="E167" s="223"/>
      <c r="F167" s="223"/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</row>
    <row r="168" spans="1:22" x14ac:dyDescent="0.2">
      <c r="A168" s="223"/>
      <c r="B168" s="223"/>
      <c r="C168" s="223"/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</row>
    <row r="169" spans="1:22" x14ac:dyDescent="0.2">
      <c r="A169" s="223"/>
      <c r="B169" s="223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</row>
    <row r="170" spans="1:22" x14ac:dyDescent="0.2">
      <c r="A170" s="223"/>
      <c r="B170" s="223"/>
      <c r="C170" s="223"/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</row>
    <row r="171" spans="1:22" x14ac:dyDescent="0.2">
      <c r="A171" s="223"/>
      <c r="B171" s="223"/>
      <c r="C171" s="223"/>
      <c r="D171" s="223"/>
      <c r="E171" s="223"/>
      <c r="F171" s="223"/>
      <c r="G171" s="223"/>
      <c r="H171" s="223"/>
      <c r="I171" s="223"/>
      <c r="J171" s="223"/>
      <c r="K171" s="223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3"/>
    </row>
    <row r="172" spans="1:22" x14ac:dyDescent="0.2">
      <c r="A172" s="223"/>
      <c r="B172" s="223"/>
      <c r="C172" s="223"/>
      <c r="D172" s="223"/>
      <c r="E172" s="22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</row>
    <row r="173" spans="1:22" x14ac:dyDescent="0.2">
      <c r="A173" s="223"/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</row>
    <row r="174" spans="1:22" x14ac:dyDescent="0.2">
      <c r="A174" s="223"/>
      <c r="B174" s="223"/>
      <c r="C174" s="223"/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</row>
    <row r="175" spans="1:22" x14ac:dyDescent="0.2">
      <c r="A175" s="223"/>
      <c r="B175" s="223"/>
      <c r="C175" s="223"/>
      <c r="D175" s="223"/>
      <c r="E175" s="223"/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</row>
    <row r="176" spans="1:22" x14ac:dyDescent="0.2">
      <c r="A176" s="223"/>
      <c r="B176" s="223"/>
      <c r="C176" s="223"/>
      <c r="D176" s="223"/>
      <c r="E176" s="223"/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</row>
    <row r="177" spans="1:22" x14ac:dyDescent="0.2">
      <c r="A177" s="223"/>
      <c r="B177" s="223"/>
      <c r="C177" s="223"/>
      <c r="D177" s="223"/>
      <c r="E177" s="223"/>
      <c r="F177" s="223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  <c r="R177" s="223"/>
      <c r="S177" s="223"/>
      <c r="T177" s="223"/>
      <c r="U177" s="223"/>
      <c r="V177" s="223"/>
    </row>
    <row r="178" spans="1:22" x14ac:dyDescent="0.2">
      <c r="A178" s="223"/>
      <c r="B178" s="223"/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</row>
    <row r="179" spans="1:22" x14ac:dyDescent="0.2">
      <c r="A179" s="223"/>
      <c r="B179" s="223"/>
      <c r="C179" s="223"/>
      <c r="D179" s="223"/>
      <c r="E179" s="223"/>
      <c r="F179" s="223"/>
      <c r="G179" s="223"/>
      <c r="H179" s="223"/>
      <c r="I179" s="223"/>
      <c r="J179" s="223"/>
      <c r="K179" s="223"/>
      <c r="L179" s="223"/>
      <c r="M179" s="223"/>
      <c r="N179" s="223"/>
      <c r="O179" s="223"/>
      <c r="P179" s="223"/>
      <c r="Q179" s="223"/>
      <c r="R179" s="223"/>
      <c r="S179" s="223"/>
      <c r="T179" s="223"/>
      <c r="U179" s="223"/>
      <c r="V179" s="223"/>
    </row>
    <row r="180" spans="1:22" x14ac:dyDescent="0.2">
      <c r="A180" s="223"/>
      <c r="B180" s="223"/>
      <c r="C180" s="223"/>
      <c r="D180" s="223"/>
      <c r="E180" s="223"/>
      <c r="F180" s="223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</row>
    <row r="181" spans="1:22" x14ac:dyDescent="0.2">
      <c r="A181" s="223"/>
      <c r="B181" s="223"/>
      <c r="C181" s="223"/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3"/>
      <c r="S181" s="223"/>
      <c r="T181" s="223"/>
      <c r="U181" s="223"/>
      <c r="V181" s="223"/>
    </row>
    <row r="182" spans="1:22" x14ac:dyDescent="0.2">
      <c r="A182" s="223"/>
      <c r="B182" s="223"/>
      <c r="C182" s="223"/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</row>
    <row r="183" spans="1:22" x14ac:dyDescent="0.2">
      <c r="A183" s="223"/>
      <c r="B183" s="223"/>
      <c r="C183" s="223"/>
      <c r="D183" s="223"/>
      <c r="E183" s="223"/>
      <c r="F183" s="223"/>
      <c r="G183" s="223"/>
      <c r="H183" s="223"/>
      <c r="I183" s="223"/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</row>
    <row r="184" spans="1:22" x14ac:dyDescent="0.2">
      <c r="A184" s="223"/>
      <c r="B184" s="223"/>
      <c r="C184" s="223"/>
      <c r="D184" s="223"/>
      <c r="E184" s="223"/>
      <c r="F184" s="223"/>
      <c r="G184" s="223"/>
      <c r="H184" s="223"/>
      <c r="I184" s="223"/>
      <c r="J184" s="223"/>
      <c r="K184" s="223"/>
      <c r="L184" s="223"/>
      <c r="M184" s="223"/>
      <c r="N184" s="223"/>
      <c r="O184" s="223"/>
      <c r="P184" s="223"/>
      <c r="Q184" s="223"/>
      <c r="R184" s="223"/>
      <c r="S184" s="223"/>
      <c r="T184" s="223"/>
      <c r="U184" s="223"/>
      <c r="V184" s="223"/>
    </row>
    <row r="185" spans="1:22" x14ac:dyDescent="0.2">
      <c r="A185" s="223"/>
      <c r="B185" s="223"/>
      <c r="C185" s="223"/>
      <c r="D185" s="223"/>
      <c r="E185" s="223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</row>
    <row r="186" spans="1:22" x14ac:dyDescent="0.2">
      <c r="A186" s="223"/>
      <c r="B186" s="223"/>
      <c r="C186" s="223"/>
      <c r="D186" s="223"/>
      <c r="E186" s="223"/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</row>
    <row r="187" spans="1:22" x14ac:dyDescent="0.2">
      <c r="A187" s="223"/>
      <c r="B187" s="223"/>
      <c r="C187" s="223"/>
      <c r="D187" s="223"/>
      <c r="E187" s="223"/>
      <c r="F187" s="223"/>
      <c r="G187" s="223"/>
      <c r="H187" s="223"/>
      <c r="I187" s="223"/>
      <c r="J187" s="223"/>
      <c r="K187" s="223"/>
      <c r="L187" s="223"/>
      <c r="M187" s="223"/>
      <c r="N187" s="223"/>
      <c r="O187" s="223"/>
      <c r="P187" s="223"/>
      <c r="Q187" s="223"/>
      <c r="R187" s="223"/>
      <c r="S187" s="223"/>
      <c r="T187" s="223"/>
      <c r="U187" s="223"/>
      <c r="V187" s="223"/>
    </row>
    <row r="188" spans="1:22" x14ac:dyDescent="0.2">
      <c r="A188" s="223"/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  <c r="L188" s="223"/>
      <c r="M188" s="223"/>
      <c r="N188" s="223"/>
      <c r="O188" s="223"/>
      <c r="P188" s="223"/>
      <c r="Q188" s="223"/>
      <c r="R188" s="223"/>
      <c r="S188" s="223"/>
      <c r="T188" s="223"/>
      <c r="U188" s="223"/>
      <c r="V188" s="223"/>
    </row>
    <row r="189" spans="1:22" x14ac:dyDescent="0.2">
      <c r="A189" s="223"/>
      <c r="B189" s="223"/>
      <c r="C189" s="223"/>
      <c r="D189" s="223"/>
      <c r="E189" s="223"/>
      <c r="F189" s="223"/>
      <c r="G189" s="223"/>
      <c r="H189" s="223"/>
      <c r="I189" s="223"/>
      <c r="J189" s="223"/>
      <c r="K189" s="223"/>
      <c r="L189" s="223"/>
      <c r="M189" s="223"/>
      <c r="N189" s="223"/>
      <c r="O189" s="223"/>
      <c r="P189" s="223"/>
      <c r="Q189" s="223"/>
      <c r="R189" s="223"/>
      <c r="S189" s="223"/>
      <c r="T189" s="223"/>
      <c r="U189" s="223"/>
      <c r="V189" s="223"/>
    </row>
    <row r="190" spans="1:22" x14ac:dyDescent="0.2">
      <c r="A190" s="223"/>
      <c r="B190" s="223"/>
      <c r="C190" s="223"/>
      <c r="D190" s="223"/>
      <c r="E190" s="223"/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</row>
    <row r="191" spans="1:22" x14ac:dyDescent="0.2">
      <c r="A191" s="223"/>
      <c r="B191" s="223"/>
      <c r="C191" s="223"/>
      <c r="D191" s="223"/>
      <c r="E191" s="223"/>
      <c r="F191" s="223"/>
      <c r="G191" s="223"/>
      <c r="H191" s="223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</row>
    <row r="192" spans="1:22" x14ac:dyDescent="0.2">
      <c r="A192" s="223"/>
      <c r="B192" s="223"/>
      <c r="C192" s="223"/>
      <c r="D192" s="223"/>
      <c r="E192" s="223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</row>
    <row r="193" spans="1:22" x14ac:dyDescent="0.2">
      <c r="A193" s="223"/>
      <c r="B193" s="223"/>
      <c r="C193" s="223"/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</row>
    <row r="194" spans="1:22" x14ac:dyDescent="0.2">
      <c r="A194" s="223"/>
      <c r="B194" s="223"/>
      <c r="C194" s="223"/>
      <c r="D194" s="223"/>
      <c r="E194" s="223"/>
      <c r="F194" s="223"/>
      <c r="G194" s="223"/>
      <c r="H194" s="223"/>
      <c r="I194" s="223"/>
      <c r="J194" s="223"/>
      <c r="K194" s="223"/>
      <c r="L194" s="223"/>
      <c r="M194" s="223"/>
      <c r="N194" s="223"/>
      <c r="O194" s="223"/>
      <c r="P194" s="223"/>
      <c r="Q194" s="223"/>
      <c r="R194" s="223"/>
      <c r="S194" s="223"/>
      <c r="T194" s="223"/>
      <c r="U194" s="223"/>
      <c r="V194" s="223"/>
    </row>
    <row r="195" spans="1:22" x14ac:dyDescent="0.2">
      <c r="A195" s="223"/>
      <c r="B195" s="223"/>
      <c r="C195" s="223"/>
      <c r="D195" s="223"/>
      <c r="E195" s="223"/>
      <c r="F195" s="223"/>
      <c r="G195" s="223"/>
      <c r="H195" s="223"/>
      <c r="I195" s="223"/>
      <c r="J195" s="223"/>
      <c r="K195" s="223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3"/>
    </row>
    <row r="196" spans="1:22" x14ac:dyDescent="0.2">
      <c r="A196" s="223"/>
      <c r="B196" s="223"/>
      <c r="C196" s="223"/>
      <c r="D196" s="223"/>
      <c r="E196" s="223"/>
      <c r="F196" s="223"/>
      <c r="G196" s="223"/>
      <c r="H196" s="223"/>
      <c r="I196" s="223"/>
      <c r="J196" s="223"/>
      <c r="K196" s="223"/>
      <c r="L196" s="223"/>
      <c r="M196" s="223"/>
      <c r="N196" s="223"/>
      <c r="O196" s="223"/>
      <c r="P196" s="223"/>
      <c r="Q196" s="223"/>
      <c r="R196" s="223"/>
      <c r="S196" s="223"/>
      <c r="T196" s="223"/>
      <c r="U196" s="223"/>
      <c r="V196" s="223"/>
    </row>
    <row r="197" spans="1:22" x14ac:dyDescent="0.2">
      <c r="A197" s="223"/>
      <c r="B197" s="223"/>
      <c r="C197" s="223"/>
      <c r="D197" s="223"/>
      <c r="E197" s="223"/>
      <c r="F197" s="223"/>
      <c r="G197" s="223"/>
      <c r="H197" s="223"/>
      <c r="I197" s="223"/>
      <c r="J197" s="223"/>
      <c r="K197" s="223"/>
      <c r="L197" s="223"/>
      <c r="M197" s="223"/>
      <c r="N197" s="223"/>
      <c r="O197" s="223"/>
      <c r="P197" s="223"/>
      <c r="Q197" s="223"/>
      <c r="R197" s="223"/>
      <c r="S197" s="223"/>
      <c r="T197" s="223"/>
      <c r="U197" s="223"/>
      <c r="V197" s="223"/>
    </row>
    <row r="198" spans="1:22" x14ac:dyDescent="0.2">
      <c r="A198" s="223"/>
      <c r="B198" s="223"/>
      <c r="C198" s="223"/>
      <c r="D198" s="223"/>
      <c r="E198" s="223"/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23"/>
      <c r="U198" s="223"/>
      <c r="V198" s="223"/>
    </row>
    <row r="199" spans="1:22" x14ac:dyDescent="0.2">
      <c r="A199" s="223"/>
      <c r="B199" s="223"/>
      <c r="C199" s="223"/>
      <c r="D199" s="223"/>
      <c r="E199" s="223"/>
      <c r="F199" s="223"/>
      <c r="G199" s="223"/>
      <c r="H199" s="223"/>
      <c r="I199" s="223"/>
      <c r="J199" s="223"/>
      <c r="K199" s="223"/>
      <c r="L199" s="223"/>
      <c r="M199" s="223"/>
      <c r="N199" s="223"/>
      <c r="O199" s="223"/>
      <c r="P199" s="223"/>
      <c r="Q199" s="223"/>
      <c r="R199" s="223"/>
      <c r="S199" s="223"/>
      <c r="T199" s="223"/>
      <c r="U199" s="223"/>
      <c r="V199" s="223"/>
    </row>
    <row r="200" spans="1:22" x14ac:dyDescent="0.2">
      <c r="A200" s="223"/>
      <c r="B200" s="223"/>
      <c r="C200" s="223"/>
      <c r="D200" s="223"/>
      <c r="E200" s="223"/>
      <c r="F200" s="223"/>
      <c r="G200" s="223"/>
      <c r="H200" s="223"/>
      <c r="I200" s="223"/>
      <c r="J200" s="223"/>
      <c r="K200" s="223"/>
      <c r="L200" s="223"/>
      <c r="M200" s="223"/>
      <c r="N200" s="223"/>
      <c r="O200" s="223"/>
      <c r="P200" s="223"/>
      <c r="Q200" s="223"/>
      <c r="R200" s="223"/>
      <c r="S200" s="223"/>
      <c r="T200" s="223"/>
      <c r="U200" s="223"/>
      <c r="V200" s="223"/>
    </row>
    <row r="201" spans="1:22" x14ac:dyDescent="0.2">
      <c r="A201" s="223"/>
      <c r="B201" s="223"/>
      <c r="C201" s="223"/>
      <c r="D201" s="223"/>
      <c r="E201" s="223"/>
      <c r="F201" s="223"/>
      <c r="G201" s="223"/>
      <c r="H201" s="223"/>
      <c r="I201" s="223"/>
      <c r="J201" s="223"/>
      <c r="K201" s="223"/>
      <c r="L201" s="223"/>
      <c r="M201" s="223"/>
      <c r="N201" s="223"/>
      <c r="O201" s="223"/>
      <c r="P201" s="223"/>
      <c r="Q201" s="223"/>
      <c r="R201" s="223"/>
      <c r="S201" s="223"/>
      <c r="T201" s="223"/>
      <c r="U201" s="223"/>
      <c r="V201" s="223"/>
    </row>
    <row r="202" spans="1:22" x14ac:dyDescent="0.2">
      <c r="A202" s="223"/>
      <c r="B202" s="223"/>
      <c r="C202" s="223"/>
      <c r="D202" s="223"/>
      <c r="E202" s="223"/>
      <c r="F202" s="223"/>
      <c r="G202" s="223"/>
      <c r="H202" s="223"/>
      <c r="I202" s="223"/>
      <c r="J202" s="223"/>
      <c r="K202" s="223"/>
      <c r="L202" s="223"/>
      <c r="M202" s="223"/>
      <c r="N202" s="223"/>
      <c r="O202" s="223"/>
      <c r="P202" s="223"/>
      <c r="Q202" s="223"/>
      <c r="R202" s="223"/>
      <c r="S202" s="223"/>
      <c r="T202" s="223"/>
      <c r="U202" s="223"/>
      <c r="V202" s="223"/>
    </row>
    <row r="203" spans="1:22" x14ac:dyDescent="0.2">
      <c r="A203" s="223"/>
      <c r="B203" s="223"/>
      <c r="C203" s="223"/>
      <c r="D203" s="223"/>
      <c r="E203" s="223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3"/>
      <c r="Q203" s="223"/>
      <c r="R203" s="223"/>
      <c r="S203" s="223"/>
      <c r="T203" s="223"/>
      <c r="U203" s="223"/>
      <c r="V203" s="223"/>
    </row>
    <row r="204" spans="1:22" x14ac:dyDescent="0.2">
      <c r="A204" s="223"/>
      <c r="B204" s="223"/>
      <c r="C204" s="223"/>
      <c r="D204" s="223"/>
      <c r="E204" s="223"/>
      <c r="F204" s="223"/>
      <c r="G204" s="223"/>
      <c r="H204" s="223"/>
      <c r="I204" s="223"/>
      <c r="J204" s="223"/>
      <c r="K204" s="223"/>
      <c r="L204" s="223"/>
      <c r="M204" s="223"/>
      <c r="N204" s="223"/>
      <c r="O204" s="223"/>
      <c r="P204" s="223"/>
      <c r="Q204" s="223"/>
      <c r="R204" s="223"/>
      <c r="S204" s="223"/>
      <c r="T204" s="223"/>
      <c r="U204" s="223"/>
      <c r="V204" s="223"/>
    </row>
    <row r="205" spans="1:22" x14ac:dyDescent="0.2">
      <c r="A205" s="223"/>
      <c r="B205" s="223"/>
      <c r="C205" s="223"/>
      <c r="D205" s="223"/>
      <c r="E205" s="223"/>
      <c r="F205" s="223"/>
      <c r="G205" s="223"/>
      <c r="H205" s="223"/>
      <c r="I205" s="223"/>
      <c r="J205" s="223"/>
      <c r="K205" s="223"/>
      <c r="L205" s="223"/>
      <c r="M205" s="223"/>
      <c r="N205" s="223"/>
      <c r="O205" s="223"/>
      <c r="P205" s="223"/>
      <c r="Q205" s="223"/>
      <c r="R205" s="223"/>
      <c r="S205" s="223"/>
      <c r="T205" s="223"/>
      <c r="U205" s="223"/>
      <c r="V205" s="223"/>
    </row>
    <row r="206" spans="1:22" x14ac:dyDescent="0.2">
      <c r="A206" s="223"/>
      <c r="B206" s="223"/>
      <c r="C206" s="223"/>
      <c r="D206" s="223"/>
      <c r="E206" s="223"/>
      <c r="F206" s="223"/>
      <c r="G206" s="223"/>
      <c r="H206" s="223"/>
      <c r="I206" s="223"/>
      <c r="J206" s="223"/>
      <c r="K206" s="223"/>
      <c r="L206" s="223"/>
      <c r="M206" s="223"/>
      <c r="N206" s="223"/>
      <c r="O206" s="223"/>
      <c r="P206" s="223"/>
      <c r="Q206" s="223"/>
      <c r="R206" s="223"/>
      <c r="S206" s="223"/>
      <c r="T206" s="223"/>
      <c r="U206" s="223"/>
      <c r="V206" s="223"/>
    </row>
    <row r="207" spans="1:22" x14ac:dyDescent="0.2">
      <c r="A207" s="223"/>
      <c r="B207" s="223"/>
      <c r="C207" s="223"/>
      <c r="D207" s="223"/>
      <c r="E207" s="223"/>
      <c r="F207" s="223"/>
      <c r="G207" s="223"/>
      <c r="H207" s="223"/>
      <c r="I207" s="223"/>
      <c r="J207" s="223"/>
      <c r="K207" s="223"/>
      <c r="L207" s="223"/>
      <c r="M207" s="223"/>
      <c r="N207" s="223"/>
      <c r="O207" s="223"/>
      <c r="P207" s="223"/>
      <c r="Q207" s="223"/>
      <c r="R207" s="223"/>
      <c r="S207" s="223"/>
      <c r="T207" s="223"/>
      <c r="U207" s="223"/>
      <c r="V207" s="223"/>
    </row>
    <row r="208" spans="1:22" x14ac:dyDescent="0.2">
      <c r="A208" s="223"/>
      <c r="B208" s="223"/>
      <c r="C208" s="223"/>
      <c r="D208" s="223"/>
      <c r="E208" s="223"/>
      <c r="F208" s="223"/>
      <c r="G208" s="223"/>
      <c r="H208" s="223"/>
      <c r="I208" s="223"/>
      <c r="J208" s="223"/>
      <c r="K208" s="223"/>
      <c r="L208" s="223"/>
      <c r="M208" s="223"/>
      <c r="N208" s="223"/>
      <c r="O208" s="223"/>
      <c r="P208" s="223"/>
      <c r="Q208" s="223"/>
      <c r="R208" s="223"/>
      <c r="S208" s="223"/>
      <c r="T208" s="223"/>
      <c r="U208" s="223"/>
      <c r="V208" s="223"/>
    </row>
    <row r="209" spans="1:22" x14ac:dyDescent="0.2">
      <c r="A209" s="223"/>
      <c r="B209" s="223"/>
      <c r="C209" s="223"/>
      <c r="D209" s="223"/>
      <c r="E209" s="223"/>
      <c r="F209" s="223"/>
      <c r="G209" s="223"/>
      <c r="H209" s="223"/>
      <c r="I209" s="223"/>
      <c r="J209" s="223"/>
      <c r="K209" s="223"/>
      <c r="L209" s="223"/>
      <c r="M209" s="223"/>
      <c r="N209" s="223"/>
      <c r="O209" s="223"/>
      <c r="P209" s="223"/>
      <c r="Q209" s="223"/>
      <c r="R209" s="223"/>
      <c r="S209" s="223"/>
      <c r="T209" s="223"/>
      <c r="U209" s="223"/>
      <c r="V209" s="223"/>
    </row>
    <row r="210" spans="1:22" x14ac:dyDescent="0.2">
      <c r="A210" s="223"/>
      <c r="B210" s="223"/>
      <c r="C210" s="223"/>
      <c r="D210" s="223"/>
      <c r="E210" s="223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3"/>
      <c r="S210" s="223"/>
      <c r="T210" s="223"/>
      <c r="U210" s="223"/>
      <c r="V210" s="223"/>
    </row>
    <row r="211" spans="1:22" x14ac:dyDescent="0.2">
      <c r="A211" s="223"/>
      <c r="B211" s="223"/>
      <c r="C211" s="223"/>
      <c r="D211" s="223"/>
      <c r="E211" s="223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3"/>
      <c r="S211" s="223"/>
      <c r="T211" s="223"/>
      <c r="U211" s="223"/>
      <c r="V211" s="223"/>
    </row>
    <row r="212" spans="1:22" x14ac:dyDescent="0.2">
      <c r="A212" s="223"/>
      <c r="B212" s="223"/>
      <c r="C212" s="223"/>
      <c r="D212" s="223"/>
      <c r="E212" s="223"/>
      <c r="F212" s="223"/>
      <c r="G212" s="223"/>
      <c r="H212" s="223"/>
      <c r="I212" s="223"/>
      <c r="J212" s="223"/>
      <c r="K212" s="223"/>
      <c r="L212" s="223"/>
      <c r="M212" s="223"/>
      <c r="N212" s="223"/>
      <c r="O212" s="223"/>
      <c r="P212" s="223"/>
      <c r="Q212" s="223"/>
      <c r="R212" s="223"/>
      <c r="S212" s="223"/>
      <c r="T212" s="223"/>
      <c r="U212" s="223"/>
      <c r="V212" s="223"/>
    </row>
    <row r="213" spans="1:22" x14ac:dyDescent="0.2">
      <c r="A213" s="223"/>
      <c r="B213" s="223"/>
      <c r="C213" s="223"/>
      <c r="D213" s="223"/>
      <c r="E213" s="223"/>
      <c r="F213" s="223"/>
      <c r="G213" s="223"/>
      <c r="H213" s="223"/>
      <c r="I213" s="223"/>
      <c r="J213" s="223"/>
      <c r="K213" s="223"/>
      <c r="L213" s="223"/>
      <c r="M213" s="223"/>
      <c r="N213" s="223"/>
      <c r="O213" s="223"/>
      <c r="P213" s="223"/>
      <c r="Q213" s="223"/>
      <c r="R213" s="223"/>
      <c r="S213" s="223"/>
      <c r="T213" s="223"/>
      <c r="U213" s="223"/>
      <c r="V213" s="223"/>
    </row>
    <row r="214" spans="1:22" x14ac:dyDescent="0.2">
      <c r="A214" s="223"/>
      <c r="B214" s="223"/>
      <c r="C214" s="223"/>
      <c r="D214" s="223"/>
      <c r="E214" s="223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3"/>
      <c r="Q214" s="223"/>
      <c r="R214" s="223"/>
      <c r="S214" s="223"/>
      <c r="T214" s="223"/>
      <c r="U214" s="223"/>
      <c r="V214" s="223"/>
    </row>
    <row r="215" spans="1:22" x14ac:dyDescent="0.2">
      <c r="A215" s="223"/>
      <c r="B215" s="223"/>
      <c r="C215" s="223"/>
      <c r="D215" s="223"/>
      <c r="E215" s="223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3"/>
      <c r="V215" s="223"/>
    </row>
    <row r="216" spans="1:22" x14ac:dyDescent="0.2">
      <c r="A216" s="223"/>
      <c r="B216" s="223"/>
      <c r="C216" s="223"/>
      <c r="D216" s="223"/>
      <c r="E216" s="223"/>
      <c r="F216" s="223"/>
      <c r="G216" s="223"/>
      <c r="H216" s="223"/>
      <c r="I216" s="223"/>
      <c r="J216" s="223"/>
      <c r="K216" s="223"/>
      <c r="L216" s="223"/>
      <c r="M216" s="223"/>
      <c r="N216" s="223"/>
      <c r="O216" s="223"/>
      <c r="P216" s="223"/>
      <c r="Q216" s="223"/>
      <c r="R216" s="223"/>
      <c r="S216" s="223"/>
      <c r="T216" s="223"/>
      <c r="U216" s="223"/>
      <c r="V216" s="223"/>
    </row>
    <row r="217" spans="1:22" x14ac:dyDescent="0.2">
      <c r="A217" s="223"/>
      <c r="B217" s="223"/>
      <c r="C217" s="223"/>
      <c r="D217" s="223"/>
      <c r="E217" s="223"/>
      <c r="F217" s="223"/>
      <c r="G217" s="223"/>
      <c r="H217" s="223"/>
      <c r="I217" s="223"/>
      <c r="J217" s="223"/>
      <c r="K217" s="223"/>
      <c r="L217" s="223"/>
      <c r="M217" s="223"/>
      <c r="N217" s="223"/>
      <c r="O217" s="223"/>
      <c r="P217" s="223"/>
      <c r="Q217" s="223"/>
      <c r="R217" s="223"/>
      <c r="S217" s="223"/>
      <c r="T217" s="223"/>
      <c r="U217" s="223"/>
      <c r="V217" s="223"/>
    </row>
    <row r="218" spans="1:22" x14ac:dyDescent="0.2">
      <c r="A218" s="223"/>
      <c r="B218" s="223"/>
      <c r="C218" s="223"/>
      <c r="D218" s="223"/>
      <c r="E218" s="223"/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3"/>
      <c r="Q218" s="223"/>
      <c r="R218" s="223"/>
      <c r="S218" s="223"/>
      <c r="T218" s="223"/>
      <c r="U218" s="223"/>
      <c r="V218" s="223"/>
    </row>
    <row r="219" spans="1:22" x14ac:dyDescent="0.2">
      <c r="A219" s="223"/>
      <c r="B219" s="223"/>
      <c r="C219" s="223"/>
      <c r="D219" s="223"/>
      <c r="E219" s="223"/>
      <c r="F219" s="223"/>
      <c r="G219" s="223"/>
      <c r="H219" s="223"/>
      <c r="I219" s="223"/>
      <c r="J219" s="223"/>
      <c r="K219" s="223"/>
      <c r="L219" s="223"/>
      <c r="M219" s="223"/>
      <c r="N219" s="223"/>
      <c r="O219" s="223"/>
      <c r="P219" s="223"/>
      <c r="Q219" s="223"/>
      <c r="R219" s="223"/>
      <c r="S219" s="223"/>
      <c r="T219" s="223"/>
      <c r="U219" s="223"/>
      <c r="V219" s="223"/>
    </row>
    <row r="220" spans="1:22" x14ac:dyDescent="0.2">
      <c r="A220" s="223"/>
      <c r="B220" s="223"/>
      <c r="C220" s="223"/>
      <c r="D220" s="223"/>
      <c r="E220" s="223"/>
      <c r="F220" s="223"/>
      <c r="G220" s="223"/>
      <c r="H220" s="223"/>
      <c r="I220" s="223"/>
      <c r="J220" s="223"/>
      <c r="K220" s="223"/>
      <c r="L220" s="223"/>
      <c r="M220" s="223"/>
      <c r="N220" s="223"/>
      <c r="O220" s="223"/>
      <c r="P220" s="223"/>
      <c r="Q220" s="223"/>
      <c r="R220" s="223"/>
      <c r="S220" s="223"/>
      <c r="T220" s="223"/>
      <c r="U220" s="223"/>
      <c r="V220" s="223"/>
    </row>
    <row r="221" spans="1:22" x14ac:dyDescent="0.2">
      <c r="A221" s="223"/>
      <c r="B221" s="223"/>
      <c r="C221" s="223"/>
      <c r="D221" s="223"/>
      <c r="E221" s="223"/>
      <c r="F221" s="223"/>
      <c r="G221" s="223"/>
      <c r="H221" s="223"/>
      <c r="I221" s="223"/>
      <c r="J221" s="223"/>
      <c r="K221" s="223"/>
      <c r="L221" s="223"/>
      <c r="M221" s="223"/>
      <c r="N221" s="223"/>
      <c r="O221" s="223"/>
      <c r="P221" s="223"/>
      <c r="Q221" s="223"/>
      <c r="R221" s="223"/>
      <c r="S221" s="223"/>
      <c r="T221" s="223"/>
      <c r="U221" s="223"/>
      <c r="V221" s="223"/>
    </row>
    <row r="222" spans="1:22" x14ac:dyDescent="0.2">
      <c r="A222" s="223"/>
      <c r="B222" s="223"/>
      <c r="C222" s="223"/>
      <c r="D222" s="223"/>
      <c r="E222" s="223"/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3"/>
      <c r="R222" s="223"/>
      <c r="S222" s="223"/>
      <c r="T222" s="223"/>
      <c r="U222" s="223"/>
      <c r="V222" s="223"/>
    </row>
    <row r="223" spans="1:22" x14ac:dyDescent="0.2">
      <c r="A223" s="223"/>
      <c r="B223" s="223"/>
      <c r="C223" s="223"/>
      <c r="D223" s="223"/>
      <c r="E223" s="223"/>
      <c r="F223" s="223"/>
      <c r="G223" s="223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  <c r="S223" s="223"/>
      <c r="T223" s="223"/>
      <c r="U223" s="223"/>
      <c r="V223" s="223"/>
    </row>
    <row r="224" spans="1:22" x14ac:dyDescent="0.2">
      <c r="A224" s="223"/>
      <c r="B224" s="223"/>
      <c r="C224" s="223"/>
      <c r="D224" s="223"/>
      <c r="E224" s="223"/>
      <c r="F224" s="223"/>
      <c r="G224" s="223"/>
      <c r="H224" s="223"/>
      <c r="I224" s="223"/>
      <c r="J224" s="223"/>
      <c r="K224" s="223"/>
      <c r="L224" s="223"/>
      <c r="M224" s="223"/>
      <c r="N224" s="223"/>
      <c r="O224" s="223"/>
      <c r="P224" s="223"/>
      <c r="Q224" s="223"/>
      <c r="R224" s="223"/>
      <c r="S224" s="223"/>
      <c r="T224" s="223"/>
      <c r="U224" s="223"/>
      <c r="V224" s="223"/>
    </row>
    <row r="225" spans="1:22" x14ac:dyDescent="0.2">
      <c r="A225" s="223"/>
      <c r="B225" s="223"/>
      <c r="C225" s="223"/>
      <c r="D225" s="223"/>
      <c r="E225" s="223"/>
      <c r="F225" s="223"/>
      <c r="G225" s="223"/>
      <c r="H225" s="223"/>
      <c r="I225" s="223"/>
      <c r="J225" s="223"/>
      <c r="K225" s="223"/>
      <c r="L225" s="223"/>
      <c r="M225" s="223"/>
      <c r="N225" s="223"/>
      <c r="O225" s="223"/>
      <c r="P225" s="223"/>
      <c r="Q225" s="223"/>
      <c r="R225" s="223"/>
      <c r="S225" s="223"/>
      <c r="T225" s="223"/>
      <c r="U225" s="223"/>
      <c r="V225" s="223"/>
    </row>
    <row r="226" spans="1:22" x14ac:dyDescent="0.2">
      <c r="A226" s="223"/>
      <c r="B226" s="223"/>
      <c r="C226" s="223"/>
      <c r="D226" s="223"/>
      <c r="E226" s="223"/>
      <c r="F226" s="223"/>
      <c r="G226" s="223"/>
      <c r="H226" s="223"/>
      <c r="I226" s="223"/>
      <c r="J226" s="223"/>
      <c r="K226" s="223"/>
      <c r="L226" s="223"/>
      <c r="M226" s="223"/>
      <c r="N226" s="223"/>
      <c r="O226" s="223"/>
      <c r="P226" s="223"/>
      <c r="Q226" s="223"/>
      <c r="R226" s="223"/>
      <c r="S226" s="223"/>
      <c r="T226" s="223"/>
      <c r="U226" s="223"/>
      <c r="V226" s="223"/>
    </row>
    <row r="227" spans="1:22" x14ac:dyDescent="0.2">
      <c r="A227" s="223"/>
      <c r="B227" s="223"/>
      <c r="C227" s="223"/>
      <c r="D227" s="223"/>
      <c r="E227" s="223"/>
      <c r="F227" s="223"/>
      <c r="G227" s="223"/>
      <c r="H227" s="223"/>
      <c r="I227" s="223"/>
      <c r="J227" s="223"/>
      <c r="K227" s="223"/>
      <c r="L227" s="223"/>
      <c r="M227" s="223"/>
      <c r="N227" s="223"/>
      <c r="O227" s="223"/>
      <c r="P227" s="223"/>
      <c r="Q227" s="223"/>
      <c r="R227" s="223"/>
      <c r="S227" s="223"/>
      <c r="T227" s="223"/>
      <c r="U227" s="223"/>
      <c r="V227" s="223"/>
    </row>
    <row r="228" spans="1:22" x14ac:dyDescent="0.2">
      <c r="A228" s="223"/>
      <c r="B228" s="223"/>
      <c r="C228" s="223"/>
      <c r="D228" s="223"/>
      <c r="E228" s="223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3"/>
      <c r="U228" s="223"/>
      <c r="V228" s="223"/>
    </row>
    <row r="229" spans="1:22" x14ac:dyDescent="0.2">
      <c r="A229" s="223"/>
      <c r="B229" s="223"/>
      <c r="C229" s="223"/>
      <c r="D229" s="223"/>
      <c r="E229" s="223"/>
      <c r="F229" s="223"/>
      <c r="G229" s="223"/>
      <c r="H229" s="223"/>
      <c r="I229" s="223"/>
      <c r="J229" s="223"/>
      <c r="K229" s="223"/>
      <c r="L229" s="223"/>
      <c r="M229" s="223"/>
      <c r="N229" s="223"/>
      <c r="O229" s="223"/>
      <c r="P229" s="223"/>
      <c r="Q229" s="223"/>
      <c r="R229" s="223"/>
      <c r="S229" s="223"/>
      <c r="T229" s="223"/>
      <c r="U229" s="223"/>
      <c r="V229" s="223"/>
    </row>
    <row r="230" spans="1:22" x14ac:dyDescent="0.2">
      <c r="A230" s="223"/>
      <c r="B230" s="223"/>
      <c r="C230" s="223"/>
      <c r="D230" s="223"/>
      <c r="E230" s="223"/>
      <c r="F230" s="223"/>
      <c r="G230" s="223"/>
      <c r="H230" s="223"/>
      <c r="I230" s="223"/>
      <c r="J230" s="223"/>
      <c r="K230" s="223"/>
      <c r="L230" s="223"/>
      <c r="M230" s="223"/>
      <c r="N230" s="223"/>
      <c r="O230" s="223"/>
      <c r="P230" s="223"/>
      <c r="Q230" s="223"/>
      <c r="R230" s="223"/>
      <c r="S230" s="223"/>
      <c r="T230" s="223"/>
      <c r="U230" s="223"/>
      <c r="V230" s="223"/>
    </row>
    <row r="231" spans="1:22" x14ac:dyDescent="0.2">
      <c r="A231" s="223"/>
      <c r="B231" s="223"/>
      <c r="C231" s="223"/>
      <c r="D231" s="223"/>
      <c r="E231" s="223"/>
      <c r="F231" s="223"/>
      <c r="G231" s="223"/>
      <c r="H231" s="223"/>
      <c r="I231" s="223"/>
      <c r="J231" s="223"/>
      <c r="K231" s="223"/>
      <c r="L231" s="223"/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</row>
    <row r="232" spans="1:22" x14ac:dyDescent="0.2">
      <c r="A232" s="223"/>
      <c r="B232" s="223"/>
      <c r="C232" s="223"/>
      <c r="D232" s="223"/>
      <c r="E232" s="223"/>
      <c r="F232" s="223"/>
      <c r="G232" s="223"/>
      <c r="H232" s="223"/>
      <c r="I232" s="223"/>
      <c r="J232" s="223"/>
      <c r="K232" s="223"/>
      <c r="L232" s="223"/>
      <c r="M232" s="223"/>
      <c r="N232" s="223"/>
      <c r="O232" s="223"/>
      <c r="P232" s="223"/>
      <c r="Q232" s="223"/>
      <c r="R232" s="223"/>
      <c r="S232" s="223"/>
      <c r="T232" s="223"/>
      <c r="U232" s="223"/>
      <c r="V232" s="223"/>
    </row>
    <row r="233" spans="1:22" x14ac:dyDescent="0.2">
      <c r="A233" s="223"/>
      <c r="B233" s="223"/>
      <c r="C233" s="223"/>
      <c r="D233" s="223"/>
      <c r="E233" s="223"/>
      <c r="F233" s="223"/>
      <c r="G233" s="223"/>
      <c r="H233" s="223"/>
      <c r="I233" s="223"/>
      <c r="J233" s="223"/>
      <c r="K233" s="223"/>
      <c r="L233" s="223"/>
      <c r="M233" s="223"/>
      <c r="N233" s="223"/>
      <c r="O233" s="223"/>
      <c r="P233" s="223"/>
      <c r="Q233" s="223"/>
      <c r="R233" s="223"/>
      <c r="S233" s="223"/>
      <c r="T233" s="223"/>
      <c r="U233" s="223"/>
      <c r="V233" s="223"/>
    </row>
    <row r="234" spans="1:22" x14ac:dyDescent="0.2">
      <c r="A234" s="223"/>
      <c r="B234" s="223"/>
      <c r="C234" s="223"/>
      <c r="D234" s="223"/>
      <c r="E234" s="223"/>
      <c r="F234" s="223"/>
      <c r="G234" s="223"/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</row>
    <row r="235" spans="1:22" x14ac:dyDescent="0.2">
      <c r="A235" s="223"/>
      <c r="B235" s="223"/>
      <c r="C235" s="223"/>
      <c r="D235" s="223"/>
      <c r="E235" s="223"/>
      <c r="F235" s="223"/>
      <c r="G235" s="223"/>
      <c r="H235" s="223"/>
      <c r="I235" s="223"/>
      <c r="J235" s="223"/>
      <c r="K235" s="223"/>
      <c r="L235" s="223"/>
      <c r="M235" s="223"/>
      <c r="N235" s="223"/>
      <c r="O235" s="223"/>
      <c r="P235" s="223"/>
      <c r="Q235" s="223"/>
      <c r="R235" s="223"/>
      <c r="S235" s="223"/>
      <c r="T235" s="223"/>
      <c r="U235" s="223"/>
      <c r="V235" s="223"/>
    </row>
    <row r="236" spans="1:22" x14ac:dyDescent="0.2">
      <c r="A236" s="223"/>
      <c r="B236" s="223"/>
      <c r="C236" s="223"/>
      <c r="D236" s="223"/>
      <c r="E236" s="223"/>
      <c r="F236" s="223"/>
      <c r="G236" s="223"/>
      <c r="H236" s="223"/>
      <c r="I236" s="223"/>
      <c r="J236" s="223"/>
      <c r="K236" s="223"/>
      <c r="L236" s="223"/>
      <c r="M236" s="223"/>
      <c r="N236" s="223"/>
      <c r="O236" s="223"/>
      <c r="P236" s="223"/>
      <c r="Q236" s="223"/>
      <c r="R236" s="223"/>
      <c r="S236" s="223"/>
      <c r="T236" s="223"/>
      <c r="U236" s="223"/>
      <c r="V236" s="223"/>
    </row>
    <row r="237" spans="1:22" x14ac:dyDescent="0.2">
      <c r="A237" s="223"/>
      <c r="B237" s="223"/>
      <c r="C237" s="223"/>
      <c r="D237" s="223"/>
      <c r="E237" s="223"/>
      <c r="F237" s="223"/>
      <c r="G237" s="223"/>
      <c r="H237" s="223"/>
      <c r="I237" s="223"/>
      <c r="J237" s="223"/>
      <c r="K237" s="223"/>
      <c r="L237" s="223"/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</row>
    <row r="238" spans="1:22" x14ac:dyDescent="0.2">
      <c r="A238" s="223"/>
      <c r="B238" s="223"/>
      <c r="C238" s="223"/>
      <c r="D238" s="223"/>
      <c r="E238" s="223"/>
      <c r="F238" s="223"/>
      <c r="G238" s="223"/>
      <c r="H238" s="223"/>
      <c r="I238" s="223"/>
      <c r="J238" s="223"/>
      <c r="K238" s="223"/>
      <c r="L238" s="223"/>
      <c r="M238" s="223"/>
      <c r="N238" s="223"/>
      <c r="O238" s="223"/>
      <c r="P238" s="223"/>
      <c r="Q238" s="223"/>
      <c r="R238" s="223"/>
      <c r="S238" s="223"/>
      <c r="T238" s="223"/>
      <c r="U238" s="223"/>
      <c r="V238" s="223"/>
    </row>
    <row r="239" spans="1:22" x14ac:dyDescent="0.2">
      <c r="A239" s="223"/>
      <c r="B239" s="223"/>
      <c r="C239" s="223"/>
      <c r="D239" s="223"/>
      <c r="E239" s="223"/>
      <c r="F239" s="223"/>
      <c r="G239" s="223"/>
      <c r="H239" s="223"/>
      <c r="I239" s="223"/>
      <c r="J239" s="223"/>
      <c r="K239" s="223"/>
      <c r="L239" s="223"/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</row>
    <row r="240" spans="1:22" x14ac:dyDescent="0.2">
      <c r="A240" s="223"/>
      <c r="B240" s="223"/>
      <c r="C240" s="223"/>
      <c r="D240" s="223"/>
      <c r="E240" s="223"/>
      <c r="F240" s="223"/>
      <c r="G240" s="223"/>
      <c r="H240" s="223"/>
      <c r="I240" s="223"/>
      <c r="J240" s="223"/>
      <c r="K240" s="223"/>
      <c r="L240" s="223"/>
      <c r="M240" s="223"/>
      <c r="N240" s="223"/>
      <c r="O240" s="223"/>
      <c r="P240" s="223"/>
      <c r="Q240" s="223"/>
      <c r="R240" s="223"/>
      <c r="S240" s="223"/>
      <c r="T240" s="223"/>
      <c r="U240" s="223"/>
      <c r="V240" s="223"/>
    </row>
    <row r="241" spans="1:22" x14ac:dyDescent="0.2">
      <c r="A241" s="223"/>
      <c r="B241" s="223"/>
      <c r="C241" s="223"/>
      <c r="D241" s="223"/>
      <c r="E241" s="223"/>
      <c r="F241" s="223"/>
      <c r="G241" s="223"/>
      <c r="H241" s="223"/>
      <c r="I241" s="223"/>
      <c r="J241" s="223"/>
      <c r="K241" s="223"/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</row>
    <row r="242" spans="1:22" x14ac:dyDescent="0.2">
      <c r="A242" s="223"/>
      <c r="B242" s="223"/>
      <c r="C242" s="223"/>
      <c r="D242" s="223"/>
      <c r="E242" s="223"/>
      <c r="F242" s="223"/>
      <c r="G242" s="223"/>
      <c r="H242" s="223"/>
      <c r="I242" s="223"/>
      <c r="J242" s="223"/>
      <c r="K242" s="223"/>
      <c r="L242" s="223"/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</row>
    <row r="243" spans="1:22" x14ac:dyDescent="0.2">
      <c r="A243" s="223"/>
      <c r="B243" s="223"/>
      <c r="C243" s="223"/>
      <c r="D243" s="223"/>
      <c r="E243" s="223"/>
      <c r="F243" s="223"/>
      <c r="G243" s="223"/>
      <c r="H243" s="223"/>
      <c r="I243" s="223"/>
      <c r="J243" s="223"/>
      <c r="K243" s="223"/>
      <c r="L243" s="223"/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</row>
    <row r="244" spans="1:22" x14ac:dyDescent="0.2">
      <c r="A244" s="223"/>
      <c r="B244" s="223"/>
      <c r="C244" s="223"/>
      <c r="D244" s="223"/>
      <c r="E244" s="223"/>
      <c r="F244" s="223"/>
      <c r="G244" s="223"/>
      <c r="H244" s="223"/>
      <c r="I244" s="223"/>
      <c r="J244" s="223"/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</row>
    <row r="245" spans="1:22" x14ac:dyDescent="0.2">
      <c r="A245" s="223"/>
      <c r="B245" s="223"/>
      <c r="C245" s="223"/>
      <c r="D245" s="223"/>
      <c r="E245" s="223"/>
      <c r="F245" s="223"/>
      <c r="G245" s="223"/>
      <c r="H245" s="223"/>
      <c r="I245" s="223"/>
      <c r="J245" s="223"/>
      <c r="K245" s="223"/>
      <c r="L245" s="223"/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</row>
    <row r="246" spans="1:22" x14ac:dyDescent="0.2">
      <c r="A246" s="223"/>
      <c r="B246" s="223"/>
      <c r="C246" s="223"/>
      <c r="D246" s="223"/>
      <c r="E246" s="223"/>
      <c r="F246" s="223"/>
      <c r="G246" s="223"/>
      <c r="H246" s="223"/>
      <c r="I246" s="223"/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</row>
    <row r="247" spans="1:22" x14ac:dyDescent="0.2">
      <c r="A247" s="223"/>
      <c r="B247" s="223"/>
      <c r="C247" s="223"/>
      <c r="D247" s="223"/>
      <c r="E247" s="223"/>
      <c r="F247" s="223"/>
      <c r="G247" s="223"/>
      <c r="H247" s="223"/>
      <c r="I247" s="223"/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</row>
    <row r="248" spans="1:22" x14ac:dyDescent="0.2">
      <c r="A248" s="223"/>
      <c r="B248" s="223"/>
      <c r="C248" s="223"/>
      <c r="D248" s="223"/>
      <c r="E248" s="223"/>
      <c r="F248" s="223"/>
      <c r="G248" s="223"/>
      <c r="H248" s="223"/>
      <c r="I248" s="223"/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</row>
    <row r="249" spans="1:22" x14ac:dyDescent="0.2">
      <c r="A249" s="223"/>
      <c r="B249" s="223"/>
      <c r="C249" s="223"/>
      <c r="D249" s="223"/>
      <c r="E249" s="223"/>
      <c r="F249" s="223"/>
      <c r="G249" s="223"/>
      <c r="H249" s="223"/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</row>
    <row r="250" spans="1:22" x14ac:dyDescent="0.2">
      <c r="A250" s="223"/>
      <c r="B250" s="223"/>
      <c r="C250" s="223"/>
      <c r="D250" s="223"/>
      <c r="E250" s="223"/>
      <c r="F250" s="223"/>
      <c r="G250" s="223"/>
      <c r="H250" s="223"/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</row>
    <row r="251" spans="1:22" x14ac:dyDescent="0.2">
      <c r="A251" s="223"/>
      <c r="B251" s="223"/>
      <c r="C251" s="223"/>
      <c r="D251" s="223"/>
      <c r="E251" s="223"/>
      <c r="F251" s="223"/>
      <c r="G251" s="223"/>
      <c r="H251" s="223"/>
      <c r="I251" s="223"/>
      <c r="J251" s="223"/>
      <c r="K251" s="223"/>
      <c r="L251" s="223"/>
      <c r="M251" s="223"/>
      <c r="N251" s="223"/>
      <c r="O251" s="223"/>
      <c r="P251" s="223"/>
      <c r="Q251" s="223"/>
      <c r="R251" s="223"/>
      <c r="S251" s="223"/>
      <c r="T251" s="223"/>
      <c r="U251" s="223"/>
      <c r="V251" s="223"/>
    </row>
    <row r="252" spans="1:22" x14ac:dyDescent="0.2">
      <c r="A252" s="223"/>
      <c r="B252" s="223"/>
      <c r="C252" s="223"/>
      <c r="D252" s="223"/>
      <c r="E252" s="223"/>
      <c r="F252" s="223"/>
      <c r="G252" s="223"/>
      <c r="H252" s="223"/>
      <c r="I252" s="223"/>
      <c r="J252" s="223"/>
      <c r="K252" s="223"/>
      <c r="L252" s="223"/>
      <c r="M252" s="223"/>
      <c r="N252" s="223"/>
      <c r="O252" s="223"/>
      <c r="P252" s="223"/>
      <c r="Q252" s="223"/>
      <c r="R252" s="223"/>
      <c r="S252" s="223"/>
      <c r="T252" s="223"/>
      <c r="U252" s="223"/>
      <c r="V252" s="223"/>
    </row>
    <row r="253" spans="1:22" x14ac:dyDescent="0.2">
      <c r="A253" s="223"/>
      <c r="B253" s="223"/>
      <c r="C253" s="223"/>
      <c r="D253" s="223"/>
      <c r="E253" s="223"/>
      <c r="F253" s="223"/>
      <c r="G253" s="223"/>
      <c r="H253" s="223"/>
      <c r="I253" s="223"/>
      <c r="J253" s="223"/>
      <c r="K253" s="223"/>
      <c r="L253" s="223"/>
      <c r="M253" s="223"/>
      <c r="N253" s="223"/>
      <c r="O253" s="223"/>
      <c r="P253" s="223"/>
      <c r="Q253" s="223"/>
      <c r="R253" s="223"/>
      <c r="S253" s="223"/>
      <c r="T253" s="223"/>
      <c r="U253" s="223"/>
      <c r="V253" s="223"/>
    </row>
    <row r="254" spans="1:22" x14ac:dyDescent="0.2">
      <c r="A254" s="223"/>
      <c r="B254" s="223"/>
      <c r="C254" s="223"/>
      <c r="D254" s="223"/>
      <c r="E254" s="223"/>
      <c r="F254" s="223"/>
      <c r="G254" s="223"/>
      <c r="H254" s="223"/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</row>
    <row r="255" spans="1:22" x14ac:dyDescent="0.2">
      <c r="A255" s="223"/>
      <c r="B255" s="223"/>
      <c r="C255" s="223"/>
      <c r="D255" s="223"/>
      <c r="E255" s="223"/>
      <c r="F255" s="223"/>
      <c r="G255" s="223"/>
      <c r="H255" s="223"/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</row>
    <row r="256" spans="1:22" x14ac:dyDescent="0.2">
      <c r="A256" s="223"/>
      <c r="B256" s="223"/>
      <c r="C256" s="223"/>
      <c r="D256" s="223"/>
      <c r="E256" s="223"/>
      <c r="F256" s="223"/>
      <c r="G256" s="223"/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3"/>
      <c r="S256" s="223"/>
      <c r="T256" s="223"/>
      <c r="U256" s="223"/>
      <c r="V256" s="223"/>
    </row>
    <row r="257" spans="1:22" x14ac:dyDescent="0.2">
      <c r="A257" s="223"/>
      <c r="B257" s="223"/>
      <c r="C257" s="223"/>
      <c r="D257" s="223"/>
      <c r="E257" s="223"/>
      <c r="F257" s="223"/>
      <c r="G257" s="223"/>
      <c r="H257" s="223"/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</row>
    <row r="258" spans="1:22" x14ac:dyDescent="0.2">
      <c r="A258" s="223"/>
      <c r="B258" s="223"/>
      <c r="C258" s="223"/>
      <c r="D258" s="223"/>
      <c r="E258" s="223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</row>
    <row r="259" spans="1:22" x14ac:dyDescent="0.2">
      <c r="A259" s="223"/>
      <c r="B259" s="223"/>
      <c r="C259" s="223"/>
      <c r="D259" s="223"/>
      <c r="E259" s="223"/>
      <c r="F259" s="223"/>
      <c r="G259" s="223"/>
      <c r="H259" s="223"/>
      <c r="I259" s="223"/>
      <c r="J259" s="223"/>
      <c r="K259" s="223"/>
      <c r="L259" s="223"/>
      <c r="M259" s="223"/>
      <c r="N259" s="223"/>
      <c r="O259" s="223"/>
      <c r="P259" s="223"/>
      <c r="Q259" s="223"/>
      <c r="R259" s="223"/>
      <c r="S259" s="223"/>
      <c r="T259" s="223"/>
      <c r="U259" s="223"/>
      <c r="V259" s="223"/>
    </row>
    <row r="260" spans="1:22" x14ac:dyDescent="0.2">
      <c r="A260" s="223"/>
      <c r="B260" s="223"/>
      <c r="C260" s="223"/>
      <c r="D260" s="223"/>
      <c r="E260" s="223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3"/>
      <c r="S260" s="223"/>
      <c r="T260" s="223"/>
      <c r="U260" s="223"/>
      <c r="V260" s="223"/>
    </row>
    <row r="261" spans="1:22" x14ac:dyDescent="0.2">
      <c r="A261" s="223"/>
      <c r="B261" s="223"/>
      <c r="C261" s="223"/>
      <c r="D261" s="223"/>
      <c r="E261" s="223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3"/>
      <c r="S261" s="223"/>
      <c r="T261" s="223"/>
      <c r="U261" s="223"/>
      <c r="V261" s="223"/>
    </row>
    <row r="262" spans="1:22" x14ac:dyDescent="0.2">
      <c r="A262" s="223"/>
      <c r="B262" s="223"/>
      <c r="C262" s="223"/>
      <c r="D262" s="223"/>
      <c r="E262" s="223"/>
      <c r="F262" s="223"/>
      <c r="G262" s="223"/>
      <c r="H262" s="223"/>
      <c r="I262" s="223"/>
      <c r="J262" s="223"/>
      <c r="K262" s="223"/>
      <c r="L262" s="223"/>
      <c r="M262" s="223"/>
      <c r="N262" s="223"/>
      <c r="O262" s="223"/>
      <c r="P262" s="223"/>
      <c r="Q262" s="223"/>
      <c r="R262" s="223"/>
      <c r="S262" s="223"/>
      <c r="T262" s="223"/>
      <c r="U262" s="223"/>
      <c r="V262" s="223"/>
    </row>
    <row r="263" spans="1:22" x14ac:dyDescent="0.2">
      <c r="A263" s="223"/>
      <c r="B263" s="223"/>
      <c r="C263" s="223"/>
      <c r="D263" s="223"/>
      <c r="E263" s="223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</row>
    <row r="264" spans="1:22" x14ac:dyDescent="0.2">
      <c r="A264" s="223"/>
      <c r="B264" s="223"/>
      <c r="C264" s="223"/>
      <c r="D264" s="223"/>
      <c r="E264" s="223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</row>
    <row r="265" spans="1:22" x14ac:dyDescent="0.2">
      <c r="A265" s="223"/>
      <c r="B265" s="223"/>
      <c r="C265" s="223"/>
      <c r="D265" s="223"/>
      <c r="E265" s="223"/>
      <c r="F265" s="223"/>
      <c r="G265" s="223"/>
      <c r="H265" s="223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</row>
    <row r="266" spans="1:22" x14ac:dyDescent="0.2">
      <c r="A266" s="223"/>
      <c r="B266" s="223"/>
      <c r="C266" s="223"/>
      <c r="D266" s="223"/>
      <c r="E266" s="223"/>
      <c r="F266" s="223"/>
      <c r="G266" s="223"/>
      <c r="H266" s="223"/>
      <c r="I266" s="223"/>
      <c r="J266" s="223"/>
      <c r="K266" s="223"/>
      <c r="L266" s="223"/>
      <c r="M266" s="223"/>
      <c r="N266" s="223"/>
      <c r="O266" s="223"/>
      <c r="P266" s="223"/>
      <c r="Q266" s="223"/>
      <c r="R266" s="223"/>
      <c r="S266" s="223"/>
      <c r="T266" s="223"/>
      <c r="U266" s="223"/>
      <c r="V266" s="223"/>
    </row>
    <row r="267" spans="1:22" x14ac:dyDescent="0.2">
      <c r="A267" s="223"/>
      <c r="B267" s="223"/>
      <c r="C267" s="223"/>
      <c r="D267" s="223"/>
      <c r="E267" s="223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3"/>
    </row>
    <row r="268" spans="1:22" x14ac:dyDescent="0.2">
      <c r="A268" s="223"/>
      <c r="B268" s="223"/>
      <c r="C268" s="223"/>
      <c r="D268" s="223"/>
      <c r="E268" s="223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</row>
    <row r="269" spans="1:22" x14ac:dyDescent="0.2">
      <c r="A269" s="223"/>
      <c r="B269" s="223"/>
      <c r="C269" s="223"/>
      <c r="D269" s="223"/>
      <c r="E269" s="223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</row>
    <row r="270" spans="1:22" x14ac:dyDescent="0.2">
      <c r="A270" s="223"/>
      <c r="B270" s="223"/>
      <c r="C270" s="223"/>
      <c r="D270" s="223"/>
      <c r="E270" s="223"/>
      <c r="F270" s="223"/>
      <c r="G270" s="223"/>
      <c r="H270" s="223"/>
      <c r="I270" s="223"/>
      <c r="J270" s="223"/>
      <c r="K270" s="223"/>
      <c r="L270" s="223"/>
      <c r="M270" s="223"/>
      <c r="N270" s="223"/>
      <c r="O270" s="223"/>
      <c r="P270" s="223"/>
      <c r="Q270" s="223"/>
      <c r="R270" s="223"/>
      <c r="S270" s="223"/>
      <c r="T270" s="223"/>
      <c r="U270" s="223"/>
      <c r="V270" s="223"/>
    </row>
    <row r="271" spans="1:22" x14ac:dyDescent="0.2">
      <c r="A271" s="223"/>
      <c r="B271" s="223"/>
      <c r="C271" s="223"/>
      <c r="D271" s="223"/>
      <c r="E271" s="223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3"/>
      <c r="S271" s="223"/>
      <c r="T271" s="223"/>
      <c r="U271" s="223"/>
      <c r="V271" s="223"/>
    </row>
    <row r="272" spans="1:22" x14ac:dyDescent="0.2">
      <c r="A272" s="223"/>
      <c r="B272" s="223"/>
      <c r="C272" s="223"/>
      <c r="D272" s="223"/>
      <c r="E272" s="223"/>
      <c r="F272" s="223"/>
      <c r="G272" s="223"/>
      <c r="H272" s="223"/>
      <c r="I272" s="223"/>
      <c r="J272" s="223"/>
      <c r="K272" s="223"/>
      <c r="L272" s="223"/>
      <c r="M272" s="223"/>
      <c r="N272" s="223"/>
      <c r="O272" s="223"/>
      <c r="P272" s="223"/>
      <c r="Q272" s="223"/>
      <c r="R272" s="223"/>
      <c r="S272" s="223"/>
      <c r="T272" s="223"/>
      <c r="U272" s="223"/>
      <c r="V272" s="223"/>
    </row>
    <row r="273" spans="1:22" x14ac:dyDescent="0.2">
      <c r="A273" s="223"/>
      <c r="B273" s="223"/>
      <c r="C273" s="223"/>
      <c r="D273" s="223"/>
      <c r="E273" s="223"/>
      <c r="F273" s="223"/>
      <c r="G273" s="223"/>
      <c r="H273" s="223"/>
      <c r="I273" s="223"/>
      <c r="J273" s="223"/>
      <c r="K273" s="223"/>
      <c r="L273" s="223"/>
      <c r="M273" s="223"/>
      <c r="N273" s="223"/>
      <c r="O273" s="223"/>
      <c r="P273" s="223"/>
      <c r="Q273" s="223"/>
      <c r="R273" s="223"/>
      <c r="S273" s="223"/>
      <c r="T273" s="223"/>
      <c r="U273" s="223"/>
      <c r="V273" s="223"/>
    </row>
    <row r="274" spans="1:22" x14ac:dyDescent="0.2">
      <c r="A274" s="223"/>
      <c r="B274" s="223"/>
      <c r="C274" s="223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</row>
    <row r="275" spans="1:22" x14ac:dyDescent="0.2">
      <c r="A275" s="223"/>
      <c r="B275" s="223"/>
      <c r="C275" s="223"/>
      <c r="D275" s="223"/>
      <c r="E275" s="223"/>
      <c r="F275" s="223"/>
      <c r="G275" s="223"/>
      <c r="H275" s="223"/>
      <c r="I275" s="223"/>
      <c r="J275" s="223"/>
      <c r="K275" s="223"/>
      <c r="L275" s="223"/>
      <c r="M275" s="223"/>
      <c r="N275" s="223"/>
      <c r="O275" s="223"/>
      <c r="P275" s="223"/>
      <c r="Q275" s="223"/>
      <c r="R275" s="223"/>
      <c r="S275" s="223"/>
      <c r="T275" s="223"/>
      <c r="U275" s="223"/>
      <c r="V275" s="223"/>
    </row>
    <row r="276" spans="1:22" x14ac:dyDescent="0.2">
      <c r="A276" s="223"/>
      <c r="B276" s="223"/>
      <c r="C276" s="223"/>
      <c r="D276" s="223"/>
      <c r="E276" s="223"/>
      <c r="F276" s="223"/>
      <c r="G276" s="223"/>
      <c r="H276" s="223"/>
      <c r="I276" s="223"/>
      <c r="J276" s="223"/>
      <c r="K276" s="223"/>
      <c r="L276" s="223"/>
      <c r="M276" s="223"/>
      <c r="N276" s="223"/>
      <c r="O276" s="223"/>
      <c r="P276" s="223"/>
      <c r="Q276" s="223"/>
      <c r="R276" s="223"/>
      <c r="S276" s="223"/>
      <c r="T276" s="223"/>
      <c r="U276" s="223"/>
      <c r="V276" s="223"/>
    </row>
    <row r="277" spans="1:22" x14ac:dyDescent="0.2">
      <c r="A277" s="223"/>
      <c r="B277" s="223"/>
      <c r="C277" s="223"/>
      <c r="D277" s="223"/>
      <c r="E277" s="223"/>
      <c r="F277" s="223"/>
      <c r="G277" s="223"/>
      <c r="H277" s="223"/>
      <c r="I277" s="223"/>
      <c r="J277" s="223"/>
      <c r="K277" s="223"/>
      <c r="L277" s="223"/>
      <c r="M277" s="223"/>
      <c r="N277" s="223"/>
      <c r="O277" s="223"/>
      <c r="P277" s="223"/>
      <c r="Q277" s="223"/>
      <c r="R277" s="223"/>
      <c r="S277" s="223"/>
      <c r="T277" s="223"/>
      <c r="U277" s="223"/>
      <c r="V277" s="223"/>
    </row>
    <row r="278" spans="1:22" x14ac:dyDescent="0.2">
      <c r="A278" s="223"/>
      <c r="B278" s="223"/>
      <c r="C278" s="223"/>
      <c r="D278" s="223"/>
      <c r="E278" s="223"/>
      <c r="F278" s="223"/>
      <c r="G278" s="223"/>
      <c r="H278" s="223"/>
      <c r="I278" s="223"/>
      <c r="J278" s="223"/>
      <c r="K278" s="223"/>
      <c r="L278" s="223"/>
      <c r="M278" s="223"/>
      <c r="N278" s="223"/>
      <c r="O278" s="223"/>
      <c r="P278" s="223"/>
      <c r="Q278" s="223"/>
      <c r="R278" s="223"/>
      <c r="S278" s="223"/>
      <c r="T278" s="223"/>
      <c r="U278" s="223"/>
      <c r="V278" s="223"/>
    </row>
    <row r="279" spans="1:22" x14ac:dyDescent="0.2">
      <c r="A279" s="223"/>
      <c r="B279" s="223"/>
      <c r="C279" s="223"/>
      <c r="D279" s="223"/>
      <c r="E279" s="223"/>
      <c r="F279" s="223"/>
      <c r="G279" s="223"/>
      <c r="H279" s="223"/>
      <c r="I279" s="223"/>
      <c r="J279" s="223"/>
      <c r="K279" s="223"/>
      <c r="L279" s="223"/>
      <c r="M279" s="223"/>
      <c r="N279" s="223"/>
      <c r="O279" s="223"/>
      <c r="P279" s="223"/>
      <c r="Q279" s="223"/>
      <c r="R279" s="223"/>
      <c r="S279" s="223"/>
      <c r="T279" s="223"/>
      <c r="U279" s="223"/>
      <c r="V279" s="223"/>
    </row>
    <row r="280" spans="1:22" x14ac:dyDescent="0.2">
      <c r="A280" s="223"/>
      <c r="B280" s="223"/>
      <c r="C280" s="223"/>
      <c r="D280" s="223"/>
      <c r="E280" s="223"/>
      <c r="F280" s="223"/>
      <c r="G280" s="223"/>
      <c r="H280" s="223"/>
      <c r="I280" s="223"/>
      <c r="J280" s="223"/>
      <c r="K280" s="223"/>
      <c r="L280" s="223"/>
      <c r="M280" s="223"/>
      <c r="N280" s="223"/>
      <c r="O280" s="223"/>
      <c r="P280" s="223"/>
      <c r="Q280" s="223"/>
      <c r="R280" s="223"/>
      <c r="S280" s="223"/>
      <c r="T280" s="223"/>
      <c r="U280" s="223"/>
      <c r="V280" s="223"/>
    </row>
    <row r="281" spans="1:22" x14ac:dyDescent="0.2">
      <c r="A281" s="223"/>
      <c r="B281" s="223"/>
      <c r="C281" s="223"/>
      <c r="D281" s="223"/>
      <c r="E281" s="223"/>
      <c r="F281" s="223"/>
      <c r="G281" s="223"/>
      <c r="H281" s="223"/>
      <c r="I281" s="223"/>
      <c r="J281" s="223"/>
      <c r="K281" s="223"/>
      <c r="L281" s="223"/>
      <c r="M281" s="223"/>
      <c r="N281" s="223"/>
      <c r="O281" s="223"/>
      <c r="P281" s="223"/>
      <c r="Q281" s="223"/>
      <c r="R281" s="223"/>
      <c r="S281" s="223"/>
      <c r="T281" s="223"/>
      <c r="U281" s="223"/>
      <c r="V281" s="223"/>
    </row>
    <row r="282" spans="1:22" x14ac:dyDescent="0.2">
      <c r="A282" s="223"/>
      <c r="B282" s="223"/>
      <c r="C282" s="223"/>
      <c r="D282" s="223"/>
      <c r="E282" s="223"/>
      <c r="F282" s="223"/>
      <c r="G282" s="223"/>
      <c r="H282" s="223"/>
      <c r="I282" s="223"/>
      <c r="J282" s="223"/>
      <c r="K282" s="223"/>
      <c r="L282" s="223"/>
      <c r="M282" s="223"/>
      <c r="N282" s="223"/>
      <c r="O282" s="223"/>
      <c r="P282" s="223"/>
      <c r="Q282" s="223"/>
      <c r="R282" s="223"/>
      <c r="S282" s="223"/>
      <c r="T282" s="223"/>
      <c r="U282" s="223"/>
      <c r="V282" s="223"/>
    </row>
    <row r="283" spans="1:22" x14ac:dyDescent="0.2">
      <c r="A283" s="223"/>
      <c r="B283" s="223"/>
      <c r="C283" s="223"/>
      <c r="D283" s="223"/>
      <c r="E283" s="223"/>
      <c r="F283" s="223"/>
      <c r="G283" s="223"/>
      <c r="H283" s="223"/>
      <c r="I283" s="223"/>
      <c r="J283" s="223"/>
      <c r="K283" s="223"/>
      <c r="L283" s="223"/>
      <c r="M283" s="223"/>
      <c r="N283" s="223"/>
      <c r="O283" s="223"/>
      <c r="P283" s="223"/>
      <c r="Q283" s="223"/>
      <c r="R283" s="223"/>
      <c r="S283" s="223"/>
      <c r="T283" s="223"/>
      <c r="U283" s="223"/>
      <c r="V283" s="223"/>
    </row>
    <row r="284" spans="1:22" x14ac:dyDescent="0.2">
      <c r="A284" s="223"/>
      <c r="B284" s="223"/>
      <c r="C284" s="223"/>
      <c r="D284" s="223"/>
      <c r="E284" s="223"/>
      <c r="F284" s="223"/>
      <c r="G284" s="223"/>
      <c r="H284" s="223"/>
      <c r="I284" s="223"/>
      <c r="J284" s="223"/>
      <c r="K284" s="223"/>
      <c r="L284" s="223"/>
      <c r="M284" s="223"/>
      <c r="N284" s="223"/>
      <c r="O284" s="223"/>
      <c r="P284" s="223"/>
      <c r="Q284" s="223"/>
      <c r="R284" s="223"/>
      <c r="S284" s="223"/>
      <c r="T284" s="223"/>
      <c r="U284" s="223"/>
      <c r="V284" s="223"/>
    </row>
    <row r="285" spans="1:22" x14ac:dyDescent="0.2">
      <c r="A285" s="223"/>
      <c r="B285" s="223"/>
      <c r="C285" s="223"/>
      <c r="D285" s="223"/>
      <c r="E285" s="223"/>
      <c r="F285" s="223"/>
      <c r="G285" s="223"/>
      <c r="H285" s="223"/>
      <c r="I285" s="223"/>
      <c r="J285" s="223"/>
      <c r="K285" s="223"/>
      <c r="L285" s="223"/>
      <c r="M285" s="223"/>
      <c r="N285" s="223"/>
      <c r="O285" s="223"/>
      <c r="P285" s="223"/>
      <c r="Q285" s="223"/>
      <c r="R285" s="223"/>
      <c r="S285" s="223"/>
      <c r="T285" s="223"/>
      <c r="U285" s="223"/>
      <c r="V285" s="223"/>
    </row>
    <row r="286" spans="1:22" x14ac:dyDescent="0.2">
      <c r="A286" s="223"/>
      <c r="B286" s="223"/>
      <c r="C286" s="223"/>
      <c r="D286" s="223"/>
      <c r="E286" s="223"/>
      <c r="F286" s="223"/>
      <c r="G286" s="223"/>
      <c r="H286" s="223"/>
      <c r="I286" s="223"/>
      <c r="J286" s="223"/>
      <c r="K286" s="223"/>
      <c r="L286" s="223"/>
      <c r="M286" s="223"/>
      <c r="N286" s="223"/>
      <c r="O286" s="223"/>
      <c r="P286" s="223"/>
      <c r="Q286" s="223"/>
      <c r="R286" s="223"/>
      <c r="S286" s="223"/>
      <c r="T286" s="223"/>
      <c r="U286" s="223"/>
      <c r="V286" s="223"/>
    </row>
    <row r="287" spans="1:22" x14ac:dyDescent="0.2">
      <c r="A287" s="223"/>
      <c r="B287" s="223"/>
      <c r="C287" s="223"/>
      <c r="D287" s="223"/>
      <c r="E287" s="223"/>
      <c r="F287" s="223"/>
      <c r="G287" s="223"/>
      <c r="H287" s="223"/>
      <c r="I287" s="223"/>
      <c r="J287" s="223"/>
      <c r="K287" s="223"/>
      <c r="L287" s="223"/>
      <c r="M287" s="223"/>
      <c r="N287" s="223"/>
      <c r="O287" s="223"/>
      <c r="P287" s="223"/>
      <c r="Q287" s="223"/>
      <c r="R287" s="223"/>
      <c r="S287" s="223"/>
      <c r="T287" s="223"/>
      <c r="U287" s="223"/>
      <c r="V287" s="223"/>
    </row>
    <row r="288" spans="1:22" x14ac:dyDescent="0.2">
      <c r="A288" s="223"/>
      <c r="B288" s="223"/>
      <c r="C288" s="223"/>
      <c r="D288" s="223"/>
      <c r="E288" s="223"/>
      <c r="F288" s="223"/>
      <c r="G288" s="223"/>
      <c r="H288" s="223"/>
      <c r="I288" s="223"/>
      <c r="J288" s="223"/>
      <c r="K288" s="223"/>
      <c r="L288" s="223"/>
      <c r="M288" s="223"/>
      <c r="N288" s="223"/>
      <c r="O288" s="223"/>
      <c r="P288" s="223"/>
      <c r="Q288" s="223"/>
      <c r="R288" s="223"/>
      <c r="S288" s="223"/>
      <c r="T288" s="223"/>
      <c r="U288" s="223"/>
      <c r="V288" s="223"/>
    </row>
    <row r="289" spans="1:22" x14ac:dyDescent="0.2">
      <c r="A289" s="223"/>
      <c r="B289" s="223"/>
      <c r="C289" s="223"/>
      <c r="D289" s="223"/>
      <c r="E289" s="223"/>
      <c r="F289" s="223"/>
      <c r="G289" s="223"/>
      <c r="H289" s="223"/>
      <c r="I289" s="223"/>
      <c r="J289" s="223"/>
      <c r="K289" s="223"/>
      <c r="L289" s="223"/>
      <c r="M289" s="223"/>
      <c r="N289" s="223"/>
      <c r="O289" s="223"/>
      <c r="P289" s="223"/>
      <c r="Q289" s="223"/>
      <c r="R289" s="223"/>
      <c r="S289" s="223"/>
      <c r="T289" s="223"/>
      <c r="U289" s="223"/>
      <c r="V289" s="223"/>
    </row>
    <row r="290" spans="1:22" x14ac:dyDescent="0.2">
      <c r="A290" s="223"/>
      <c r="B290" s="223"/>
      <c r="C290" s="223"/>
      <c r="D290" s="223"/>
      <c r="E290" s="223"/>
      <c r="F290" s="223"/>
      <c r="G290" s="223"/>
      <c r="H290" s="223"/>
      <c r="I290" s="223"/>
      <c r="J290" s="223"/>
      <c r="K290" s="223"/>
      <c r="L290" s="223"/>
      <c r="M290" s="223"/>
      <c r="N290" s="223"/>
      <c r="O290" s="223"/>
      <c r="P290" s="223"/>
      <c r="Q290" s="223"/>
      <c r="R290" s="223"/>
      <c r="S290" s="223"/>
      <c r="T290" s="223"/>
      <c r="U290" s="223"/>
      <c r="V290" s="223"/>
    </row>
    <row r="291" spans="1:22" x14ac:dyDescent="0.2">
      <c r="A291" s="223"/>
      <c r="B291" s="223"/>
      <c r="C291" s="223"/>
      <c r="D291" s="223"/>
      <c r="E291" s="223"/>
      <c r="F291" s="223"/>
      <c r="G291" s="223"/>
      <c r="H291" s="223"/>
      <c r="I291" s="223"/>
      <c r="J291" s="223"/>
      <c r="K291" s="223"/>
      <c r="L291" s="223"/>
      <c r="M291" s="223"/>
      <c r="N291" s="223"/>
      <c r="O291" s="223"/>
      <c r="P291" s="223"/>
      <c r="Q291" s="223"/>
      <c r="R291" s="223"/>
      <c r="S291" s="223"/>
      <c r="T291" s="223"/>
      <c r="U291" s="223"/>
      <c r="V291" s="223"/>
    </row>
    <row r="292" spans="1:22" x14ac:dyDescent="0.2">
      <c r="A292" s="223"/>
      <c r="B292" s="223"/>
      <c r="C292" s="223"/>
      <c r="D292" s="223"/>
      <c r="E292" s="223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3"/>
      <c r="R292" s="223"/>
      <c r="S292" s="223"/>
      <c r="T292" s="223"/>
      <c r="U292" s="223"/>
      <c r="V292" s="223"/>
    </row>
    <row r="293" spans="1:22" x14ac:dyDescent="0.2">
      <c r="A293" s="223"/>
      <c r="B293" s="223"/>
      <c r="C293" s="223"/>
      <c r="D293" s="223"/>
      <c r="E293" s="223"/>
      <c r="F293" s="223"/>
      <c r="G293" s="223"/>
      <c r="H293" s="223"/>
      <c r="I293" s="223"/>
      <c r="J293" s="223"/>
      <c r="K293" s="223"/>
      <c r="L293" s="223"/>
      <c r="M293" s="223"/>
      <c r="N293" s="223"/>
      <c r="O293" s="223"/>
      <c r="P293" s="223"/>
      <c r="Q293" s="223"/>
      <c r="R293" s="223"/>
      <c r="S293" s="223"/>
      <c r="T293" s="223"/>
      <c r="U293" s="223"/>
      <c r="V293" s="223"/>
    </row>
    <row r="294" spans="1:22" x14ac:dyDescent="0.2">
      <c r="A294" s="223"/>
      <c r="B294" s="223"/>
      <c r="C294" s="223"/>
      <c r="D294" s="223"/>
      <c r="E294" s="223"/>
      <c r="F294" s="223"/>
      <c r="G294" s="223"/>
      <c r="H294" s="223"/>
      <c r="I294" s="223"/>
      <c r="J294" s="223"/>
      <c r="K294" s="223"/>
      <c r="L294" s="223"/>
      <c r="M294" s="223"/>
      <c r="N294" s="223"/>
      <c r="O294" s="223"/>
      <c r="P294" s="223"/>
      <c r="Q294" s="223"/>
      <c r="R294" s="223"/>
      <c r="S294" s="223"/>
      <c r="T294" s="223"/>
      <c r="U294" s="223"/>
      <c r="V294" s="223"/>
    </row>
    <row r="295" spans="1:22" x14ac:dyDescent="0.2">
      <c r="A295" s="223"/>
      <c r="B295" s="223"/>
      <c r="C295" s="223"/>
      <c r="D295" s="223"/>
      <c r="E295" s="223"/>
      <c r="F295" s="223"/>
      <c r="G295" s="223"/>
      <c r="H295" s="223"/>
      <c r="I295" s="223"/>
      <c r="J295" s="223"/>
      <c r="K295" s="223"/>
      <c r="L295" s="223"/>
      <c r="M295" s="223"/>
      <c r="N295" s="223"/>
      <c r="O295" s="223"/>
      <c r="P295" s="223"/>
      <c r="Q295" s="223"/>
      <c r="R295" s="223"/>
      <c r="S295" s="223"/>
      <c r="T295" s="223"/>
      <c r="U295" s="223"/>
      <c r="V295" s="223"/>
    </row>
    <row r="296" spans="1:22" x14ac:dyDescent="0.2">
      <c r="A296" s="223"/>
      <c r="B296" s="223"/>
      <c r="C296" s="223"/>
      <c r="D296" s="223"/>
      <c r="E296" s="223"/>
      <c r="F296" s="223"/>
      <c r="G296" s="223"/>
      <c r="H296" s="223"/>
      <c r="I296" s="223"/>
      <c r="J296" s="223"/>
      <c r="K296" s="223"/>
      <c r="L296" s="223"/>
      <c r="M296" s="223"/>
      <c r="N296" s="223"/>
      <c r="O296" s="223"/>
      <c r="P296" s="223"/>
      <c r="Q296" s="223"/>
      <c r="R296" s="223"/>
      <c r="S296" s="223"/>
      <c r="T296" s="223"/>
      <c r="U296" s="223"/>
      <c r="V296" s="223"/>
    </row>
    <row r="297" spans="1:22" x14ac:dyDescent="0.2">
      <c r="A297" s="223"/>
      <c r="B297" s="223"/>
      <c r="C297" s="223"/>
      <c r="D297" s="223"/>
      <c r="E297" s="223"/>
      <c r="F297" s="223"/>
      <c r="G297" s="223"/>
      <c r="H297" s="223"/>
      <c r="I297" s="223"/>
      <c r="J297" s="223"/>
      <c r="K297" s="223"/>
      <c r="L297" s="223"/>
      <c r="M297" s="223"/>
      <c r="N297" s="223"/>
      <c r="O297" s="223"/>
      <c r="P297" s="223"/>
      <c r="Q297" s="223"/>
      <c r="R297" s="223"/>
      <c r="S297" s="223"/>
      <c r="T297" s="223"/>
      <c r="U297" s="223"/>
      <c r="V297" s="223"/>
    </row>
  </sheetData>
  <sheetProtection algorithmName="SHA-512" hashValue="DVB4s2trxFCFqVAX9wV6tV5k9VIxvK8EM8JgOzC/qYYOdigVH2QOFNGnbZimVHGvwePDXMuHVwi7SDhmKTqpVg==" saltValue="Gm2xQtrOiRrgCi5t6r6uWQ==" spinCount="100000" sheet="1" objects="1" scenarios="1"/>
  <mergeCells count="10">
    <mergeCell ref="W1:AL2"/>
    <mergeCell ref="B2:K4"/>
    <mergeCell ref="AO13:AP13"/>
    <mergeCell ref="AQ13:AR13"/>
    <mergeCell ref="AA65:AJ73"/>
    <mergeCell ref="AS13:AT13"/>
    <mergeCell ref="AU13:AV13"/>
    <mergeCell ref="O36:R42"/>
    <mergeCell ref="O43:T48"/>
    <mergeCell ref="O50:T5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F701A-6C4F-45A2-8201-739120550FCE}">
          <x14:formula1>
            <xm:f>'Data List'!$B$3:$B$4</xm:f>
          </x14:formula1>
          <xm:sqref>C9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8"/>
  <dimension ref="B1:AB95"/>
  <sheetViews>
    <sheetView workbookViewId="0"/>
  </sheetViews>
  <sheetFormatPr baseColWidth="10" defaultColWidth="8.83203125" defaultRowHeight="15" x14ac:dyDescent="0.2"/>
  <cols>
    <col min="4" max="4" width="9.1640625" customWidth="1"/>
    <col min="5" max="5" width="12.33203125" bestFit="1" customWidth="1"/>
    <col min="6" max="6" width="13.5" bestFit="1" customWidth="1"/>
    <col min="7" max="7" width="10" customWidth="1"/>
    <col min="10" max="10" width="12.33203125" bestFit="1" customWidth="1"/>
    <col min="11" max="11" width="13.5" bestFit="1" customWidth="1"/>
    <col min="14" max="15" width="3.5" customWidth="1"/>
    <col min="16" max="16" width="15.6640625" customWidth="1"/>
    <col min="17" max="17" width="9.1640625" customWidth="1"/>
    <col min="19" max="19" width="17.5" customWidth="1"/>
  </cols>
  <sheetData>
    <row r="1" spans="2:19" ht="20" customHeight="1" thickBot="1" x14ac:dyDescent="0.25"/>
    <row r="2" spans="2:19" ht="20" customHeight="1" thickBot="1" x14ac:dyDescent="0.3">
      <c r="B2" s="65" t="s">
        <v>159</v>
      </c>
      <c r="C2" s="65"/>
      <c r="D2" s="65"/>
      <c r="E2" s="65"/>
      <c r="F2" s="65"/>
      <c r="G2" s="65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2:19" ht="16" x14ac:dyDescent="0.2">
      <c r="B3" s="49"/>
      <c r="C3" s="49"/>
      <c r="D3" s="49"/>
      <c r="E3" s="49"/>
      <c r="F3" s="49"/>
      <c r="G3" s="49"/>
    </row>
    <row r="5" spans="2:19" x14ac:dyDescent="0.2">
      <c r="N5" s="69" t="s">
        <v>160</v>
      </c>
      <c r="O5" s="69"/>
      <c r="P5" s="69"/>
    </row>
    <row r="7" spans="2:19" x14ac:dyDescent="0.2">
      <c r="N7" s="102"/>
      <c r="P7" t="s">
        <v>161</v>
      </c>
    </row>
    <row r="9" spans="2:19" x14ac:dyDescent="0.2">
      <c r="N9" s="68"/>
      <c r="P9" t="s">
        <v>58</v>
      </c>
    </row>
    <row r="11" spans="2:19" x14ac:dyDescent="0.2">
      <c r="N11" s="70"/>
      <c r="P11" t="s">
        <v>162</v>
      </c>
    </row>
    <row r="18" spans="2:28" x14ac:dyDescent="0.2">
      <c r="C18" s="298" t="s">
        <v>163</v>
      </c>
      <c r="D18" s="298"/>
      <c r="E18" s="298"/>
      <c r="F18" s="298"/>
      <c r="J18" s="116"/>
    </row>
    <row r="19" spans="2:28" x14ac:dyDescent="0.2">
      <c r="C19" t="s">
        <v>58</v>
      </c>
      <c r="D19" t="s">
        <v>162</v>
      </c>
      <c r="E19" t="s">
        <v>161</v>
      </c>
      <c r="F19" s="100"/>
      <c r="J19" s="117"/>
    </row>
    <row r="20" spans="2:28" x14ac:dyDescent="0.2">
      <c r="B20" s="42">
        <v>2021</v>
      </c>
      <c r="C20" s="67">
        <f>+VLOOKUP($B20,'Main Variables'!$A$4:$BF$33,COLUMNS('Main Variables'!$A4:G4),0)</f>
        <v>2059.8680000000004</v>
      </c>
      <c r="D20" s="67" t="e">
        <f>+VLOOKUP($B20,'Main Variables'!$A$4:$BF$33,COLUMNS('Main Variables'!$A4:U4),0)</f>
        <v>#REF!</v>
      </c>
      <c r="E20" s="67">
        <f>+VLOOKUP($B20,'Main Variables'!$A$4:$BF$33,COLUMNS('Main Variables'!$A4:AL4),0)</f>
        <v>6262.3989999999994</v>
      </c>
      <c r="F20" s="101"/>
      <c r="G20" s="113"/>
      <c r="J20" s="70"/>
    </row>
    <row r="21" spans="2:28" x14ac:dyDescent="0.2">
      <c r="B21" s="42">
        <f t="shared" ref="B21:B49" si="0">+B20+1</f>
        <v>2022</v>
      </c>
      <c r="C21" s="67">
        <f>+VLOOKUP($B21,'Main Variables'!$A$4:$BF$33,COLUMNS('Main Variables'!$A5:G5),0)</f>
        <v>2045.8280888813351</v>
      </c>
      <c r="D21" s="67" t="e">
        <f>+VLOOKUP($B21,'Main Variables'!$A$4:$BF$33,COLUMNS('Main Variables'!$A5:U5),0)</f>
        <v>#REF!</v>
      </c>
      <c r="E21" s="67">
        <f>+VLOOKUP($B21,'Main Variables'!$A$4:$BF$33,COLUMNS('Main Variables'!$A5:AL5),0)</f>
        <v>6235.4158518549957</v>
      </c>
      <c r="F21" s="101"/>
      <c r="G21" s="113"/>
      <c r="T21" s="61"/>
      <c r="U21" s="61"/>
      <c r="V21" s="61"/>
      <c r="W21" s="61"/>
      <c r="Y21" s="61"/>
      <c r="Z21" s="61"/>
      <c r="AA21" s="61"/>
      <c r="AB21" s="61"/>
    </row>
    <row r="22" spans="2:28" x14ac:dyDescent="0.2">
      <c r="B22" s="42">
        <f t="shared" si="0"/>
        <v>2023</v>
      </c>
      <c r="C22" s="67">
        <f>+VLOOKUP($B22,'Main Variables'!$A$4:$BF$33,COLUMNS('Main Variables'!$A6:G6),0)</f>
        <v>2218.3459036180484</v>
      </c>
      <c r="D22" s="67" t="e">
        <f>+VLOOKUP($B22,'Main Variables'!$A$4:$BF$33,COLUMNS('Main Variables'!$A6:U6),0)</f>
        <v>#REF!</v>
      </c>
      <c r="E22" s="67">
        <f>+VLOOKUP($B22,'Main Variables'!$A$4:$BF$33,COLUMNS('Main Variables'!$A6:AL6),0)</f>
        <v>6545.7825370847277</v>
      </c>
      <c r="F22" s="101"/>
      <c r="G22" s="113"/>
    </row>
    <row r="23" spans="2:28" x14ac:dyDescent="0.2">
      <c r="B23" s="42">
        <f t="shared" si="0"/>
        <v>2024</v>
      </c>
      <c r="C23" s="67">
        <f>+VLOOKUP($B23,'Main Variables'!$A$4:$BF$33,COLUMNS('Main Variables'!$A7:G7),0)</f>
        <v>2209.9135599283309</v>
      </c>
      <c r="D23" s="67" t="e">
        <f>+VLOOKUP($B23,'Main Variables'!$A$4:$BF$33,COLUMNS('Main Variables'!$A7:U7),0)</f>
        <v>#REF!</v>
      </c>
      <c r="E23" s="67">
        <f>+VLOOKUP($B23,'Main Variables'!$A$4:$BF$33,COLUMNS('Main Variables'!$A7:AL7),0)</f>
        <v>6630.9406310001395</v>
      </c>
      <c r="F23" s="101"/>
      <c r="G23" s="113"/>
    </row>
    <row r="24" spans="2:28" x14ac:dyDescent="0.2">
      <c r="B24" s="42">
        <f t="shared" si="0"/>
        <v>2025</v>
      </c>
      <c r="C24" s="67">
        <f>+VLOOKUP($B24,'Main Variables'!$A$4:$BF$33,COLUMNS('Main Variables'!$A8:G8),0)</f>
        <v>2305.6392438067396</v>
      </c>
      <c r="D24" s="67" t="e">
        <f>+VLOOKUP($B24,'Main Variables'!$A$4:$BF$33,COLUMNS('Main Variables'!$A8:U8),0)</f>
        <v>#REF!</v>
      </c>
      <c r="E24" s="67">
        <f>+VLOOKUP($B24,'Main Variables'!$A$4:$BF$33,COLUMNS('Main Variables'!$A8:AL8),0)</f>
        <v>6866.2450141906593</v>
      </c>
      <c r="F24" s="101"/>
      <c r="G24" s="113"/>
    </row>
    <row r="25" spans="2:28" x14ac:dyDescent="0.2">
      <c r="B25" s="42">
        <f t="shared" si="0"/>
        <v>2026</v>
      </c>
      <c r="C25" s="67">
        <f>+VLOOKUP($B25,'Main Variables'!$A$4:$BF$33,COLUMNS('Main Variables'!$A9:G9),0)</f>
        <v>2344.9788064304666</v>
      </c>
      <c r="D25" s="67" t="e">
        <f>+VLOOKUP($B25,'Main Variables'!$A$4:$BF$33,COLUMNS('Main Variables'!$A9:U9),0)</f>
        <v>#REF!</v>
      </c>
      <c r="E25" s="67">
        <f>+VLOOKUP($B25,'Main Variables'!$A$4:$BF$33,COLUMNS('Main Variables'!$A9:AL9),0)</f>
        <v>7068.1828371675711</v>
      </c>
      <c r="F25" s="101"/>
      <c r="G25" s="113"/>
    </row>
    <row r="26" spans="2:28" x14ac:dyDescent="0.2">
      <c r="B26" s="42">
        <f t="shared" si="0"/>
        <v>2027</v>
      </c>
      <c r="C26" s="67">
        <f>+VLOOKUP($B26,'Main Variables'!$A$4:$BF$33,COLUMNS('Main Variables'!$A10:G10),0)</f>
        <v>2384.1093956448276</v>
      </c>
      <c r="D26" s="67" t="e">
        <f>+VLOOKUP($B26,'Main Variables'!$A$4:$BF$33,COLUMNS('Main Variables'!$A10:U10),0)</f>
        <v>#REF!</v>
      </c>
      <c r="E26" s="67">
        <f>+VLOOKUP($B26,'Main Variables'!$A$4:$BF$33,COLUMNS('Main Variables'!$A10:AL10),0)</f>
        <v>7275.5729166535857</v>
      </c>
      <c r="F26" s="101"/>
      <c r="G26" s="113"/>
    </row>
    <row r="27" spans="2:28" x14ac:dyDescent="0.2">
      <c r="B27" s="42">
        <f t="shared" si="0"/>
        <v>2028</v>
      </c>
      <c r="C27" s="67">
        <f>+VLOOKUP($B27,'Main Variables'!$A$4:$BF$33,COLUMNS('Main Variables'!$A11:G11),0)</f>
        <v>2436.7762195264477</v>
      </c>
      <c r="D27" s="67" t="e">
        <f>+VLOOKUP($B27,'Main Variables'!$A$4:$BF$33,COLUMNS('Main Variables'!$A11:U11),0)</f>
        <v>#REF!</v>
      </c>
      <c r="E27" s="67">
        <f>+VLOOKUP($B27,'Main Variables'!$A$4:$BF$33,COLUMNS('Main Variables'!$A11:AL11),0)</f>
        <v>7498.0499074186118</v>
      </c>
      <c r="F27" s="101"/>
      <c r="G27" s="113"/>
      <c r="H27" s="114"/>
      <c r="I27" s="114"/>
      <c r="J27" s="114"/>
      <c r="K27" s="114"/>
      <c r="L27" s="114"/>
    </row>
    <row r="28" spans="2:28" x14ac:dyDescent="0.2">
      <c r="B28" s="42">
        <f t="shared" si="0"/>
        <v>2029</v>
      </c>
      <c r="C28" s="67">
        <f>+VLOOKUP($B28,'Main Variables'!$A$4:$BF$33,COLUMNS('Main Variables'!$A12:G12),0)</f>
        <v>2566.5586445017689</v>
      </c>
      <c r="D28" s="67" t="e">
        <f>+VLOOKUP($B28,'Main Variables'!$A$4:$BF$33,COLUMNS('Main Variables'!$A12:U12),0)</f>
        <v>#REF!</v>
      </c>
      <c r="E28" s="67">
        <f>+VLOOKUP($B28,'Main Variables'!$A$4:$BF$33,COLUMNS('Main Variables'!$A12:AL12),0)</f>
        <v>7779.5360319299762</v>
      </c>
      <c r="F28" s="101"/>
      <c r="G28" s="113"/>
      <c r="H28" s="114"/>
      <c r="I28" s="114"/>
      <c r="J28" s="114"/>
      <c r="K28" s="114"/>
      <c r="L28" s="114"/>
    </row>
    <row r="29" spans="2:28" x14ac:dyDescent="0.2">
      <c r="B29" s="42">
        <f t="shared" si="0"/>
        <v>2030</v>
      </c>
      <c r="C29" s="67">
        <f>+VLOOKUP($B29,'Main Variables'!$A$4:$BF$33,COLUMNS('Main Variables'!$A13:G13),0)</f>
        <v>2702.7452042066834</v>
      </c>
      <c r="D29" s="67" t="e">
        <f>+VLOOKUP($B29,'Main Variables'!$A$4:$BF$33,COLUMNS('Main Variables'!$A13:U13),0)</f>
        <v>#REF!</v>
      </c>
      <c r="E29" s="67">
        <f>+VLOOKUP($B29,'Main Variables'!$A$4:$BF$33,COLUMNS('Main Variables'!$A13:AL13),0)</f>
        <v>8071.5782836930084</v>
      </c>
      <c r="F29" s="101"/>
      <c r="G29" s="113"/>
      <c r="H29" s="114"/>
      <c r="I29" s="114"/>
      <c r="J29" s="114"/>
      <c r="K29" s="114"/>
      <c r="L29" s="114"/>
    </row>
    <row r="30" spans="2:28" x14ac:dyDescent="0.2">
      <c r="B30" s="42">
        <f t="shared" si="0"/>
        <v>2031</v>
      </c>
      <c r="C30" s="67">
        <f>+VLOOKUP($B30,'Main Variables'!$A$4:$BF$33,COLUMNS('Main Variables'!$A14:G14),0)</f>
        <v>2901.624789807287</v>
      </c>
      <c r="D30" s="67" t="e">
        <f>+VLOOKUP($B30,'Main Variables'!$A$4:$BF$33,COLUMNS('Main Variables'!$A14:U14),0)</f>
        <v>#REF!</v>
      </c>
      <c r="E30" s="67">
        <f>+VLOOKUP($B30,'Main Variables'!$A$4:$BF$33,COLUMNS('Main Variables'!$A14:AL14),0)</f>
        <v>8413.0956492873593</v>
      </c>
      <c r="F30" s="101"/>
      <c r="G30" s="113"/>
      <c r="H30" s="114"/>
      <c r="I30" s="114"/>
      <c r="J30" s="114"/>
      <c r="K30" s="114"/>
      <c r="L30" s="114"/>
    </row>
    <row r="31" spans="2:28" x14ac:dyDescent="0.2">
      <c r="B31" s="42">
        <f t="shared" si="0"/>
        <v>2032</v>
      </c>
      <c r="C31" s="67">
        <f>+VLOOKUP($B31,'Main Variables'!$A$4:$BF$33,COLUMNS('Main Variables'!$A15:G15),0)</f>
        <v>3114.3905565163404</v>
      </c>
      <c r="D31" s="67" t="e">
        <f>+VLOOKUP($B31,'Main Variables'!$A$4:$BF$33,COLUMNS('Main Variables'!$A15:U15),0)</f>
        <v>#REF!</v>
      </c>
      <c r="E31" s="67">
        <f>+VLOOKUP($B31,'Main Variables'!$A$4:$BF$33,COLUMNS('Main Variables'!$A15:AL15),0)</f>
        <v>8770.7161168668754</v>
      </c>
      <c r="F31" s="101"/>
      <c r="G31" s="113"/>
      <c r="H31" s="114"/>
      <c r="I31" s="114"/>
      <c r="J31" s="114"/>
      <c r="K31" s="114"/>
      <c r="L31" s="114"/>
    </row>
    <row r="32" spans="2:28" x14ac:dyDescent="0.2">
      <c r="B32" s="42">
        <f t="shared" si="0"/>
        <v>2033</v>
      </c>
      <c r="C32" s="67">
        <f>+VLOOKUP($B32,'Main Variables'!$A$4:$BF$33,COLUMNS('Main Variables'!$A16:G16),0)</f>
        <v>3361.7803229786914</v>
      </c>
      <c r="D32" s="67" t="e">
        <f>+VLOOKUP($B32,'Main Variables'!$A$4:$BF$33,COLUMNS('Main Variables'!$A16:U16),0)</f>
        <v>#REF!</v>
      </c>
      <c r="E32" s="67">
        <f>+VLOOKUP($B32,'Main Variables'!$A$4:$BF$33,COLUMNS('Main Variables'!$A16:AL16),0)</f>
        <v>9158.9152319950372</v>
      </c>
      <c r="F32" s="101"/>
      <c r="G32" s="113"/>
      <c r="H32" s="114"/>
      <c r="I32" s="114"/>
      <c r="J32" s="114"/>
      <c r="K32" s="114"/>
      <c r="L32" s="114"/>
    </row>
    <row r="33" spans="2:12" x14ac:dyDescent="0.2">
      <c r="B33" s="42">
        <f t="shared" si="0"/>
        <v>2034</v>
      </c>
      <c r="C33" s="67">
        <f>+VLOOKUP($B33,'Main Variables'!$A$4:$BF$33,COLUMNS('Main Variables'!$A17:G17),0)</f>
        <v>3610.6577757654413</v>
      </c>
      <c r="D33" s="67" t="e">
        <f>+VLOOKUP($B33,'Main Variables'!$A$4:$BF$33,COLUMNS('Main Variables'!$A17:U17),0)</f>
        <v>#REF!</v>
      </c>
      <c r="E33" s="67">
        <f>+VLOOKUP($B33,'Main Variables'!$A$4:$BF$33,COLUMNS('Main Variables'!$A17:AL17),0)</f>
        <v>9555.1142381145582</v>
      </c>
      <c r="F33" s="101"/>
      <c r="G33" s="113"/>
      <c r="H33" s="114"/>
      <c r="I33" s="114"/>
      <c r="J33" s="114"/>
      <c r="K33" s="114"/>
      <c r="L33" s="114"/>
    </row>
    <row r="34" spans="2:12" x14ac:dyDescent="0.2">
      <c r="B34" s="42">
        <f t="shared" si="0"/>
        <v>2035</v>
      </c>
      <c r="C34" s="67">
        <f>+VLOOKUP($B34,'Main Variables'!$A$4:$BF$33,COLUMNS('Main Variables'!$A18:G18),0)</f>
        <v>3873.616822552307</v>
      </c>
      <c r="D34" s="67" t="e">
        <f>+VLOOKUP($B34,'Main Variables'!$A$4:$BF$33,COLUMNS('Main Variables'!$A18:U18),0)</f>
        <v>#REF!</v>
      </c>
      <c r="E34" s="67">
        <f>+VLOOKUP($B34,'Main Variables'!$A$4:$BF$33,COLUMNS('Main Variables'!$A18:AL18),0)</f>
        <v>9968.1999642684896</v>
      </c>
      <c r="F34" s="101"/>
      <c r="G34" s="113"/>
      <c r="H34" s="114"/>
      <c r="I34" s="114"/>
      <c r="J34" s="114"/>
      <c r="K34" s="114"/>
      <c r="L34" s="114"/>
    </row>
    <row r="35" spans="2:12" x14ac:dyDescent="0.2">
      <c r="B35" s="42">
        <f t="shared" si="0"/>
        <v>2036</v>
      </c>
      <c r="C35" s="67">
        <f>+VLOOKUP($B35,'Main Variables'!$A$4:$BF$33,COLUMNS('Main Variables'!$A19:G19),0)</f>
        <v>4208.3298135499426</v>
      </c>
      <c r="D35" s="67" t="e">
        <f>+VLOOKUP($B35,'Main Variables'!$A$4:$BF$33,COLUMNS('Main Variables'!$A19:U19),0)</f>
        <v>#REF!</v>
      </c>
      <c r="E35" s="67">
        <f>+VLOOKUP($B35,'Main Variables'!$A$4:$BF$33,COLUMNS('Main Variables'!$A19:AL19),0)</f>
        <v>10438.076676108278</v>
      </c>
      <c r="F35" s="101"/>
      <c r="G35" s="113"/>
      <c r="H35" s="114"/>
      <c r="I35" s="114"/>
      <c r="J35" s="114"/>
      <c r="K35" s="114"/>
      <c r="L35" s="114"/>
    </row>
    <row r="36" spans="2:12" x14ac:dyDescent="0.2">
      <c r="B36" s="42">
        <f t="shared" si="0"/>
        <v>2037</v>
      </c>
      <c r="C36" s="67">
        <f>+VLOOKUP($B36,'Main Variables'!$A$4:$BF$33,COLUMNS('Main Variables'!$A20:G20),0)</f>
        <v>4542.0794637612853</v>
      </c>
      <c r="D36" s="67" t="e">
        <f>+VLOOKUP($B36,'Main Variables'!$A$4:$BF$33,COLUMNS('Main Variables'!$A20:U20),0)</f>
        <v>#REF!</v>
      </c>
      <c r="E36" s="67">
        <f>+VLOOKUP($B36,'Main Variables'!$A$4:$BF$33,COLUMNS('Main Variables'!$A20:AL20),0)</f>
        <v>10914.95857498738</v>
      </c>
      <c r="F36" s="101"/>
      <c r="G36" s="113"/>
      <c r="H36" s="114"/>
      <c r="I36" s="114"/>
      <c r="J36" s="114"/>
      <c r="K36" s="114"/>
      <c r="L36" s="114"/>
    </row>
    <row r="37" spans="2:12" x14ac:dyDescent="0.2">
      <c r="B37" s="42">
        <f t="shared" si="0"/>
        <v>2038</v>
      </c>
      <c r="C37" s="67">
        <f>+VLOOKUP($B37,'Main Variables'!$A$4:$BF$33,COLUMNS('Main Variables'!$A21:G21),0)</f>
        <v>4863.0523358776263</v>
      </c>
      <c r="D37" s="67" t="e">
        <f>+VLOOKUP($B37,'Main Variables'!$A$4:$BF$33,COLUMNS('Main Variables'!$A21:U21),0)</f>
        <v>#REF!</v>
      </c>
      <c r="E37" s="67">
        <f>+VLOOKUP($B37,'Main Variables'!$A$4:$BF$33,COLUMNS('Main Variables'!$A21:AL21),0)</f>
        <v>11390.964351708149</v>
      </c>
      <c r="F37" s="101"/>
      <c r="G37" s="113"/>
      <c r="H37" s="114"/>
      <c r="I37" s="114"/>
      <c r="J37" s="114"/>
      <c r="K37" s="114"/>
      <c r="L37" s="114"/>
    </row>
    <row r="38" spans="2:12" x14ac:dyDescent="0.2">
      <c r="B38" s="42">
        <f t="shared" si="0"/>
        <v>2039</v>
      </c>
      <c r="C38" s="67">
        <f>+VLOOKUP($B38,'Main Variables'!$A$4:$BF$33,COLUMNS('Main Variables'!$A22:G22),0)</f>
        <v>5179.0151922145342</v>
      </c>
      <c r="D38" s="67" t="e">
        <f>+VLOOKUP($B38,'Main Variables'!$A$4:$BF$33,COLUMNS('Main Variables'!$A22:U22),0)</f>
        <v>#REF!</v>
      </c>
      <c r="E38" s="67">
        <f>+VLOOKUP($B38,'Main Variables'!$A$4:$BF$33,COLUMNS('Main Variables'!$A22:AL22),0)</f>
        <v>11871.69012972682</v>
      </c>
      <c r="F38" s="101"/>
      <c r="G38" s="113"/>
      <c r="H38" s="114"/>
      <c r="I38" s="114"/>
      <c r="J38" s="114"/>
      <c r="K38" s="114"/>
      <c r="L38" s="114"/>
    </row>
    <row r="39" spans="2:12" x14ac:dyDescent="0.2">
      <c r="B39" s="42">
        <f t="shared" si="0"/>
        <v>2040</v>
      </c>
      <c r="C39" s="67">
        <f>+VLOOKUP($B39,'Main Variables'!$A$4:$BF$33,COLUMNS('Main Variables'!$A23:G23),0)</f>
        <v>5483.7351419648294</v>
      </c>
      <c r="D39" s="67" t="e">
        <f>+VLOOKUP($B39,'Main Variables'!$A$4:$BF$33,COLUMNS('Main Variables'!$A23:U23),0)</f>
        <v>#REF!</v>
      </c>
      <c r="E39" s="67">
        <f>+VLOOKUP($B39,'Main Variables'!$A$4:$BF$33,COLUMNS('Main Variables'!$A23:AL23),0)</f>
        <v>12353.109515885037</v>
      </c>
      <c r="F39" s="101"/>
      <c r="G39" s="113"/>
      <c r="H39" s="114"/>
      <c r="I39" s="114"/>
      <c r="J39" s="114"/>
      <c r="K39" s="114"/>
      <c r="L39" s="114"/>
    </row>
    <row r="40" spans="2:12" x14ac:dyDescent="0.2">
      <c r="B40" s="42">
        <f t="shared" si="0"/>
        <v>2041</v>
      </c>
      <c r="C40" s="67">
        <f>+VLOOKUP($B40,'Main Variables'!$A$4:$BF$33,COLUMNS('Main Variables'!$A24:G24),0)</f>
        <v>5783.6819628856902</v>
      </c>
      <c r="D40" s="67" t="e">
        <f>+VLOOKUP($B40,'Main Variables'!$A$4:$BF$33,COLUMNS('Main Variables'!$A24:U24),0)</f>
        <v>#REF!</v>
      </c>
      <c r="E40" s="67">
        <f>+VLOOKUP($B40,'Main Variables'!$A$4:$BF$33,COLUMNS('Main Variables'!$A24:AL24),0)</f>
        <v>12839.942879678052</v>
      </c>
      <c r="F40" s="101"/>
      <c r="G40" s="113"/>
      <c r="H40" s="114"/>
      <c r="I40" s="114"/>
      <c r="J40" s="114"/>
      <c r="K40" s="114"/>
      <c r="L40" s="114"/>
    </row>
    <row r="41" spans="2:12" x14ac:dyDescent="0.2">
      <c r="B41" s="42">
        <f t="shared" si="0"/>
        <v>2042</v>
      </c>
      <c r="C41" s="67">
        <f>+VLOOKUP($B41,'Main Variables'!$A$4:$BF$33,COLUMNS('Main Variables'!$A25:G25),0)</f>
        <v>6075.933405529835</v>
      </c>
      <c r="D41" s="67" t="e">
        <f>+VLOOKUP($B41,'Main Variables'!$A$4:$BF$33,COLUMNS('Main Variables'!$A25:U25),0)</f>
        <v>#REF!</v>
      </c>
      <c r="E41" s="67">
        <f>+VLOOKUP($B41,'Main Variables'!$A$4:$BF$33,COLUMNS('Main Variables'!$A25:AL25),0)</f>
        <v>13330.458271805415</v>
      </c>
      <c r="F41" s="101"/>
      <c r="G41" s="113"/>
      <c r="H41" s="114"/>
      <c r="I41" s="114"/>
      <c r="J41" s="114"/>
      <c r="K41" s="114"/>
      <c r="L41" s="114"/>
    </row>
    <row r="42" spans="2:12" x14ac:dyDescent="0.2">
      <c r="B42" s="42">
        <f t="shared" si="0"/>
        <v>2043</v>
      </c>
      <c r="C42" s="67">
        <f>+VLOOKUP($B42,'Main Variables'!$A$4:$BF$33,COLUMNS('Main Variables'!$A26:G26),0)</f>
        <v>6366.1466136944837</v>
      </c>
      <c r="D42" s="67" t="e">
        <f>+VLOOKUP($B42,'Main Variables'!$A$4:$BF$33,COLUMNS('Main Variables'!$A26:U26),0)</f>
        <v>#REF!</v>
      </c>
      <c r="E42" s="67">
        <f>+VLOOKUP($B42,'Main Variables'!$A$4:$BF$33,COLUMNS('Main Variables'!$A26:AL26),0)</f>
        <v>13828.834572181186</v>
      </c>
      <c r="F42" s="101"/>
      <c r="G42" s="113"/>
      <c r="H42" s="114"/>
      <c r="I42" s="114"/>
      <c r="J42" s="114"/>
      <c r="K42" s="114"/>
      <c r="L42" s="114"/>
    </row>
    <row r="43" spans="2:12" x14ac:dyDescent="0.2">
      <c r="B43" s="42">
        <f t="shared" si="0"/>
        <v>2044</v>
      </c>
      <c r="C43" s="67">
        <f>+VLOOKUP($B43,'Main Variables'!$A$4:$BF$33,COLUMNS('Main Variables'!$A27:G27),0)</f>
        <v>6653.5252539733337</v>
      </c>
      <c r="D43" s="67" t="e">
        <f>+VLOOKUP($B43,'Main Variables'!$A$4:$BF$33,COLUMNS('Main Variables'!$A27:U27),0)</f>
        <v>#REF!</v>
      </c>
      <c r="E43" s="67">
        <f>+VLOOKUP($B43,'Main Variables'!$A$4:$BF$33,COLUMNS('Main Variables'!$A27:AL27),0)</f>
        <v>14334.820385872052</v>
      </c>
      <c r="F43" s="101"/>
      <c r="G43" s="113"/>
      <c r="H43" s="114"/>
      <c r="I43" s="114"/>
      <c r="J43" s="114"/>
      <c r="K43" s="114"/>
      <c r="L43" s="114"/>
    </row>
    <row r="44" spans="2:12" x14ac:dyDescent="0.2">
      <c r="B44" s="42">
        <f t="shared" si="0"/>
        <v>2045</v>
      </c>
      <c r="C44" s="67">
        <f>+VLOOKUP($B44,'Main Variables'!$A$4:$BF$33,COLUMNS('Main Variables'!$A28:G28),0)</f>
        <v>6943.2878525900996</v>
      </c>
      <c r="D44" s="67" t="e">
        <f>+VLOOKUP($B44,'Main Variables'!$A$4:$BF$33,COLUMNS('Main Variables'!$A28:U28),0)</f>
        <v>#REF!</v>
      </c>
      <c r="E44" s="67">
        <f>+VLOOKUP($B44,'Main Variables'!$A$4:$BF$33,COLUMNS('Main Variables'!$A28:AL28),0)</f>
        <v>14852.311536268462</v>
      </c>
      <c r="F44" s="101"/>
      <c r="G44" s="113"/>
      <c r="H44" s="114"/>
      <c r="I44" s="114"/>
      <c r="J44" s="114"/>
      <c r="K44" s="114"/>
      <c r="L44" s="114"/>
    </row>
    <row r="45" spans="2:12" x14ac:dyDescent="0.2">
      <c r="B45" s="42">
        <f t="shared" si="0"/>
        <v>2046</v>
      </c>
      <c r="C45" s="67">
        <f>+VLOOKUP($B45,'Main Variables'!$A$4:$BF$33,COLUMNS('Main Variables'!$A29:G29),0)</f>
        <v>7236.091366103552</v>
      </c>
      <c r="D45" s="67" t="e">
        <f>+VLOOKUP($B45,'Main Variables'!$A$4:$BF$33,COLUMNS('Main Variables'!$A29:U29),0)</f>
        <v>#REF!</v>
      </c>
      <c r="E45" s="67">
        <f>+VLOOKUP($B45,'Main Variables'!$A$4:$BF$33,COLUMNS('Main Variables'!$A29:AL29),0)</f>
        <v>15382.075647681813</v>
      </c>
      <c r="F45" s="101"/>
      <c r="G45" s="113"/>
      <c r="H45" s="114"/>
      <c r="I45" s="114"/>
      <c r="J45" s="114"/>
      <c r="K45" s="114"/>
      <c r="L45" s="114"/>
    </row>
    <row r="46" spans="2:12" x14ac:dyDescent="0.2">
      <c r="B46" s="42">
        <f t="shared" si="0"/>
        <v>2047</v>
      </c>
      <c r="C46" s="67">
        <f>+VLOOKUP($B46,'Main Variables'!$A$4:$BF$33,COLUMNS('Main Variables'!$A30:G30),0)</f>
        <v>7536.8529560015158</v>
      </c>
      <c r="D46" s="67" t="e">
        <f>+VLOOKUP($B46,'Main Variables'!$A$4:$BF$33,COLUMNS('Main Variables'!$A30:U30),0)</f>
        <v>#REF!</v>
      </c>
      <c r="E46" s="67">
        <f>+VLOOKUP($B46,'Main Variables'!$A$4:$BF$33,COLUMNS('Main Variables'!$A30:AL30),0)</f>
        <v>15927.821120166718</v>
      </c>
      <c r="F46" s="101"/>
      <c r="G46" s="113"/>
      <c r="H46" s="114"/>
      <c r="I46" s="114"/>
      <c r="J46" s="114"/>
      <c r="K46" s="114"/>
      <c r="L46" s="114"/>
    </row>
    <row r="47" spans="2:12" x14ac:dyDescent="0.2">
      <c r="B47" s="42">
        <f t="shared" si="0"/>
        <v>2048</v>
      </c>
      <c r="C47" s="67">
        <f>+VLOOKUP($B47,'Main Variables'!$A$4:$BF$33,COLUMNS('Main Variables'!$A31:G31),0)</f>
        <v>7847.0950361684409</v>
      </c>
      <c r="D47" s="67" t="e">
        <f>+VLOOKUP($B47,'Main Variables'!$A$4:$BF$33,COLUMNS('Main Variables'!$A31:U31),0)</f>
        <v>#REF!</v>
      </c>
      <c r="E47" s="67">
        <f>+VLOOKUP($B47,'Main Variables'!$A$4:$BF$33,COLUMNS('Main Variables'!$A31:AL31),0)</f>
        <v>16490.931469645267</v>
      </c>
      <c r="F47" s="101"/>
      <c r="G47" s="113"/>
      <c r="H47" s="114"/>
      <c r="I47" s="114"/>
      <c r="J47" s="114"/>
      <c r="K47" s="114"/>
      <c r="L47" s="114"/>
    </row>
    <row r="48" spans="2:12" x14ac:dyDescent="0.2">
      <c r="B48" s="42">
        <f t="shared" si="0"/>
        <v>2049</v>
      </c>
      <c r="C48" s="67">
        <f>+VLOOKUP($B48,'Main Variables'!$A$4:$BF$33,COLUMNS('Main Variables'!$A32:G32),0)</f>
        <v>8171.2376449160292</v>
      </c>
      <c r="D48" s="67" t="e">
        <f>+VLOOKUP($B48,'Main Variables'!$A$4:$BF$33,COLUMNS('Main Variables'!$A32:U32),0)</f>
        <v>#REF!</v>
      </c>
      <c r="E48" s="67">
        <f>+VLOOKUP($B48,'Main Variables'!$A$4:$BF$33,COLUMNS('Main Variables'!$A32:AL32),0)</f>
        <v>17074.794300386064</v>
      </c>
      <c r="F48" s="101"/>
      <c r="G48" s="113"/>
      <c r="H48" s="114"/>
      <c r="I48" s="114"/>
      <c r="J48" s="114"/>
      <c r="K48" s="114"/>
      <c r="L48" s="114"/>
    </row>
    <row r="49" spans="2:13" x14ac:dyDescent="0.2">
      <c r="B49" s="42">
        <f t="shared" si="0"/>
        <v>2050</v>
      </c>
      <c r="C49" s="67">
        <f>+VLOOKUP($B49,'Main Variables'!$A$4:$BF$33,COLUMNS('Main Variables'!$A33:G33),0)</f>
        <v>8510.9714760121133</v>
      </c>
      <c r="D49" s="67" t="e">
        <f>+VLOOKUP($B49,'Main Variables'!$A$4:$BF$33,COLUMNS('Main Variables'!$A33:U33),0)</f>
        <v>#REF!</v>
      </c>
      <c r="E49" s="67">
        <f>+VLOOKUP($B49,'Main Variables'!$A$4:$BF$33,COLUMNS('Main Variables'!$A33:AL33),0)</f>
        <v>17680.930753473513</v>
      </c>
      <c r="F49" s="101"/>
      <c r="G49" s="113"/>
      <c r="H49" s="114"/>
      <c r="I49" s="114"/>
      <c r="J49" s="114"/>
      <c r="K49" s="114"/>
      <c r="L49" s="114"/>
    </row>
    <row r="50" spans="2:13" ht="16" thickBot="1" x14ac:dyDescent="0.25">
      <c r="L50" s="115"/>
    </row>
    <row r="51" spans="2:13" x14ac:dyDescent="0.2">
      <c r="B51" s="48"/>
      <c r="C51" s="48"/>
      <c r="D51" s="48"/>
      <c r="E51" s="48"/>
      <c r="F51" s="48"/>
      <c r="L51" s="31"/>
    </row>
    <row r="52" spans="2:13" x14ac:dyDescent="0.2"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31"/>
    </row>
    <row r="53" spans="2:13" x14ac:dyDescent="0.2">
      <c r="B53" s="56"/>
      <c r="L53" s="31"/>
    </row>
    <row r="54" spans="2:13" x14ac:dyDescent="0.2">
      <c r="B54" s="56"/>
      <c r="C54" s="297"/>
      <c r="D54" s="297"/>
      <c r="E54" s="297"/>
      <c r="F54" s="297"/>
      <c r="G54" s="297"/>
      <c r="H54" s="297"/>
      <c r="I54" s="297"/>
      <c r="J54" s="297"/>
      <c r="L54" s="31"/>
    </row>
    <row r="55" spans="2:13" x14ac:dyDescent="0.2">
      <c r="B55" s="56"/>
      <c r="C55" s="57"/>
      <c r="D55" s="57"/>
      <c r="E55" s="57"/>
      <c r="F55" s="57"/>
      <c r="G55" s="57"/>
      <c r="H55" s="57"/>
      <c r="I55" s="57"/>
      <c r="J55" s="57"/>
      <c r="K55" s="57"/>
    </row>
    <row r="56" spans="2:13" x14ac:dyDescent="0.2">
      <c r="B56" s="56"/>
      <c r="C56" s="58"/>
      <c r="D56" s="59"/>
      <c r="E56" s="59"/>
      <c r="F56" s="59"/>
      <c r="G56" s="59"/>
      <c r="H56" s="59"/>
      <c r="I56" s="59"/>
      <c r="J56" s="58"/>
      <c r="K56" s="58"/>
    </row>
    <row r="57" spans="2:13" x14ac:dyDescent="0.2">
      <c r="B57" s="56"/>
      <c r="C57" s="58"/>
      <c r="D57" s="60"/>
      <c r="E57" s="60"/>
      <c r="F57" s="60"/>
      <c r="G57" s="60"/>
      <c r="H57" s="60"/>
      <c r="I57" s="60"/>
      <c r="J57" s="58"/>
      <c r="K57" s="58"/>
      <c r="L57" s="46"/>
      <c r="M57" s="46"/>
    </row>
    <row r="58" spans="2:13" x14ac:dyDescent="0.2">
      <c r="B58" s="56"/>
      <c r="C58" s="58"/>
      <c r="D58" s="60"/>
      <c r="E58" s="60"/>
      <c r="F58" s="60"/>
      <c r="G58" s="60"/>
      <c r="H58" s="60"/>
      <c r="I58" s="60"/>
      <c r="J58" s="58"/>
      <c r="K58" s="58"/>
    </row>
    <row r="59" spans="2:13" x14ac:dyDescent="0.2">
      <c r="B59" s="56"/>
      <c r="C59" s="58"/>
      <c r="D59" s="60"/>
      <c r="E59" s="60"/>
      <c r="F59" s="60"/>
      <c r="G59" s="60"/>
      <c r="H59" s="60"/>
      <c r="I59" s="60"/>
      <c r="J59" s="58"/>
      <c r="K59" s="58"/>
    </row>
    <row r="60" spans="2:13" x14ac:dyDescent="0.2">
      <c r="B60" s="56"/>
      <c r="C60" s="58"/>
      <c r="D60" s="60"/>
      <c r="E60" s="60"/>
      <c r="F60" s="60"/>
      <c r="G60" s="60"/>
      <c r="H60" s="60"/>
      <c r="I60" s="60"/>
      <c r="J60" s="58"/>
      <c r="K60" s="58"/>
      <c r="L60" s="57"/>
      <c r="M60" s="57"/>
    </row>
    <row r="61" spans="2:13" x14ac:dyDescent="0.2">
      <c r="B61" s="56"/>
      <c r="C61" s="58"/>
      <c r="D61" s="60"/>
      <c r="E61" s="60"/>
      <c r="F61" s="60"/>
      <c r="G61" s="60"/>
      <c r="H61" s="60"/>
      <c r="I61" s="60"/>
      <c r="J61" s="58"/>
      <c r="K61" s="58"/>
      <c r="L61" s="58"/>
      <c r="M61" s="58"/>
    </row>
    <row r="62" spans="2:13" x14ac:dyDescent="0.2">
      <c r="B62" s="56"/>
      <c r="C62" s="58"/>
      <c r="D62" s="60"/>
      <c r="E62" s="60"/>
      <c r="F62" s="60"/>
      <c r="G62" s="60"/>
      <c r="H62" s="60"/>
      <c r="I62" s="60"/>
      <c r="J62" s="58"/>
      <c r="K62" s="58"/>
      <c r="L62" s="58"/>
      <c r="M62" s="58"/>
    </row>
    <row r="63" spans="2:13" x14ac:dyDescent="0.2">
      <c r="B63" s="56"/>
      <c r="C63" s="58"/>
      <c r="D63" s="60"/>
      <c r="E63" s="60"/>
      <c r="F63" s="60"/>
      <c r="G63" s="60"/>
      <c r="H63" s="60"/>
      <c r="I63" s="60"/>
      <c r="J63" s="58"/>
      <c r="K63" s="58"/>
      <c r="L63" s="58"/>
      <c r="M63" s="58"/>
    </row>
    <row r="64" spans="2:13" x14ac:dyDescent="0.2">
      <c r="B64" s="56"/>
      <c r="C64" s="58"/>
      <c r="D64" s="60"/>
      <c r="E64" s="60"/>
      <c r="F64" s="60"/>
      <c r="G64" s="60"/>
      <c r="H64" s="60"/>
      <c r="I64" s="60"/>
      <c r="J64" s="58"/>
      <c r="K64" s="58"/>
      <c r="L64" s="58"/>
      <c r="M64" s="58"/>
    </row>
    <row r="65" spans="2:13" x14ac:dyDescent="0.2">
      <c r="B65" s="56"/>
      <c r="C65" s="58"/>
      <c r="D65" s="60"/>
      <c r="E65" s="60"/>
      <c r="F65" s="60"/>
      <c r="G65" s="60"/>
      <c r="H65" s="60"/>
      <c r="I65" s="60"/>
      <c r="J65" s="58"/>
      <c r="K65" s="58"/>
      <c r="L65" s="58"/>
      <c r="M65" s="58"/>
    </row>
    <row r="66" spans="2:13" x14ac:dyDescent="0.2">
      <c r="B66" s="56"/>
      <c r="C66" s="58"/>
      <c r="D66" s="60"/>
      <c r="E66" s="60"/>
      <c r="F66" s="60"/>
      <c r="G66" s="60"/>
      <c r="H66" s="60"/>
      <c r="I66" s="60"/>
      <c r="J66" s="58"/>
      <c r="K66" s="58"/>
      <c r="L66" s="58"/>
      <c r="M66" s="58"/>
    </row>
    <row r="67" spans="2:13" x14ac:dyDescent="0.2">
      <c r="B67" s="56"/>
      <c r="C67" s="58"/>
      <c r="D67" s="60"/>
      <c r="E67" s="60"/>
      <c r="F67" s="60"/>
      <c r="G67" s="60"/>
      <c r="H67" s="60"/>
      <c r="I67" s="60"/>
      <c r="J67" s="58"/>
      <c r="K67" s="58"/>
      <c r="L67" s="58"/>
      <c r="M67" s="58"/>
    </row>
    <row r="68" spans="2:13" x14ac:dyDescent="0.2">
      <c r="B68" s="56"/>
      <c r="C68" s="58"/>
      <c r="D68" s="60"/>
      <c r="E68" s="60"/>
      <c r="F68" s="60"/>
      <c r="G68" s="60"/>
      <c r="H68" s="60"/>
      <c r="I68" s="60"/>
      <c r="J68" s="58"/>
      <c r="K68" s="58"/>
      <c r="L68" s="58"/>
      <c r="M68" s="58"/>
    </row>
    <row r="69" spans="2:13" x14ac:dyDescent="0.2">
      <c r="B69" s="56"/>
      <c r="C69" s="58"/>
      <c r="D69" s="60"/>
      <c r="E69" s="60"/>
      <c r="F69" s="60"/>
      <c r="G69" s="60"/>
      <c r="H69" s="60"/>
      <c r="I69" s="60"/>
      <c r="J69" s="58"/>
      <c r="K69" s="58"/>
      <c r="L69" s="58"/>
      <c r="M69" s="58"/>
    </row>
    <row r="70" spans="2:13" x14ac:dyDescent="0.2">
      <c r="B70" s="56"/>
      <c r="C70" s="58"/>
      <c r="D70" s="60"/>
      <c r="E70" s="60"/>
      <c r="F70" s="60"/>
      <c r="G70" s="60"/>
      <c r="H70" s="60"/>
      <c r="I70" s="60"/>
      <c r="J70" s="58"/>
      <c r="K70" s="58"/>
      <c r="L70" s="58"/>
      <c r="M70" s="58"/>
    </row>
    <row r="71" spans="2:13" x14ac:dyDescent="0.2">
      <c r="B71" s="56"/>
      <c r="C71" s="58"/>
      <c r="D71" s="60"/>
      <c r="E71" s="60"/>
      <c r="F71" s="60"/>
      <c r="G71" s="60"/>
      <c r="H71" s="60"/>
      <c r="I71" s="60"/>
      <c r="J71" s="58"/>
      <c r="K71" s="58"/>
      <c r="L71" s="58"/>
      <c r="M71" s="58"/>
    </row>
    <row r="72" spans="2:13" x14ac:dyDescent="0.2">
      <c r="B72" s="56"/>
      <c r="C72" s="58"/>
      <c r="D72" s="60"/>
      <c r="E72" s="60"/>
      <c r="F72" s="60"/>
      <c r="G72" s="60"/>
      <c r="H72" s="60"/>
      <c r="I72" s="60"/>
      <c r="J72" s="58"/>
      <c r="K72" s="58"/>
      <c r="L72" s="58"/>
      <c r="M72" s="58"/>
    </row>
    <row r="73" spans="2:13" x14ac:dyDescent="0.2">
      <c r="B73" s="56"/>
      <c r="C73" s="58"/>
      <c r="D73" s="60"/>
      <c r="E73" s="60"/>
      <c r="F73" s="60"/>
      <c r="G73" s="60"/>
      <c r="H73" s="60"/>
      <c r="I73" s="60"/>
      <c r="J73" s="58"/>
      <c r="K73" s="58"/>
      <c r="L73" s="58"/>
      <c r="M73" s="58"/>
    </row>
    <row r="74" spans="2:13" x14ac:dyDescent="0.2">
      <c r="B74" s="56"/>
      <c r="C74" s="58"/>
      <c r="D74" s="60"/>
      <c r="E74" s="60"/>
      <c r="F74" s="60"/>
      <c r="G74" s="60"/>
      <c r="H74" s="60"/>
      <c r="I74" s="60"/>
      <c r="J74" s="58"/>
      <c r="K74" s="58"/>
      <c r="L74" s="58"/>
      <c r="M74" s="58"/>
    </row>
    <row r="75" spans="2:13" x14ac:dyDescent="0.2">
      <c r="B75" s="56"/>
      <c r="C75" s="58"/>
      <c r="D75" s="60"/>
      <c r="E75" s="60"/>
      <c r="F75" s="60"/>
      <c r="G75" s="60"/>
      <c r="H75" s="60"/>
      <c r="I75" s="60"/>
      <c r="J75" s="58"/>
      <c r="K75" s="58"/>
      <c r="L75" s="58"/>
      <c r="M75" s="58"/>
    </row>
    <row r="76" spans="2:13" x14ac:dyDescent="0.2">
      <c r="B76" s="56"/>
      <c r="C76" s="58"/>
      <c r="D76" s="60"/>
      <c r="E76" s="60"/>
      <c r="F76" s="60"/>
      <c r="G76" s="60"/>
      <c r="H76" s="60"/>
      <c r="I76" s="60"/>
      <c r="J76" s="58"/>
      <c r="K76" s="58"/>
      <c r="L76" s="58"/>
      <c r="M76" s="58"/>
    </row>
    <row r="77" spans="2:13" x14ac:dyDescent="0.2">
      <c r="B77" s="56"/>
      <c r="C77" s="58"/>
      <c r="D77" s="60"/>
      <c r="E77" s="60"/>
      <c r="F77" s="60"/>
      <c r="G77" s="60"/>
      <c r="H77" s="60"/>
      <c r="I77" s="60"/>
      <c r="J77" s="58"/>
      <c r="K77" s="58"/>
      <c r="L77" s="58"/>
      <c r="M77" s="58"/>
    </row>
    <row r="78" spans="2:13" x14ac:dyDescent="0.2">
      <c r="B78" s="56"/>
      <c r="C78" s="58"/>
      <c r="D78" s="60"/>
      <c r="E78" s="60"/>
      <c r="F78" s="60"/>
      <c r="G78" s="60"/>
      <c r="H78" s="60"/>
      <c r="I78" s="60"/>
      <c r="J78" s="58"/>
      <c r="K78" s="58"/>
      <c r="L78" s="58"/>
      <c r="M78" s="58"/>
    </row>
    <row r="79" spans="2:13" x14ac:dyDescent="0.2">
      <c r="B79" s="56"/>
      <c r="C79" s="58"/>
      <c r="D79" s="60"/>
      <c r="E79" s="60"/>
      <c r="F79" s="60"/>
      <c r="G79" s="60"/>
      <c r="H79" s="60"/>
      <c r="I79" s="60"/>
      <c r="J79" s="58"/>
      <c r="K79" s="58"/>
      <c r="L79" s="58"/>
      <c r="M79" s="58"/>
    </row>
    <row r="80" spans="2:13" x14ac:dyDescent="0.2">
      <c r="B80" s="56"/>
      <c r="C80" s="58"/>
      <c r="D80" s="60"/>
      <c r="E80" s="60"/>
      <c r="F80" s="60"/>
      <c r="G80" s="60"/>
      <c r="H80" s="60"/>
      <c r="I80" s="60"/>
      <c r="J80" s="58"/>
      <c r="K80" s="58"/>
      <c r="L80" s="58"/>
      <c r="M80" s="58"/>
    </row>
    <row r="81" spans="2:13" x14ac:dyDescent="0.2">
      <c r="B81" s="56"/>
      <c r="C81" s="58"/>
      <c r="D81" s="60"/>
      <c r="E81" s="60"/>
      <c r="F81" s="60"/>
      <c r="G81" s="60"/>
      <c r="H81" s="60"/>
      <c r="I81" s="60"/>
      <c r="J81" s="58"/>
      <c r="K81" s="58"/>
      <c r="L81" s="58"/>
      <c r="M81" s="58"/>
    </row>
    <row r="82" spans="2:13" x14ac:dyDescent="0.2">
      <c r="B82" s="56"/>
      <c r="C82" s="58"/>
      <c r="D82" s="60"/>
      <c r="E82" s="60"/>
      <c r="F82" s="60"/>
      <c r="G82" s="60"/>
      <c r="H82" s="60"/>
      <c r="I82" s="60"/>
      <c r="J82" s="58"/>
      <c r="K82" s="58"/>
      <c r="L82" s="58"/>
      <c r="M82" s="58"/>
    </row>
    <row r="83" spans="2:13" x14ac:dyDescent="0.2">
      <c r="B83" s="56"/>
      <c r="C83" s="58"/>
      <c r="D83" s="60"/>
      <c r="E83" s="60"/>
      <c r="F83" s="60"/>
      <c r="G83" s="60"/>
      <c r="H83" s="60"/>
      <c r="I83" s="60"/>
      <c r="J83" s="58"/>
      <c r="K83" s="58"/>
      <c r="L83" s="58"/>
      <c r="M83" s="58"/>
    </row>
    <row r="84" spans="2:13" x14ac:dyDescent="0.2">
      <c r="B84" s="56"/>
      <c r="C84" s="58"/>
      <c r="D84" s="60"/>
      <c r="E84" s="60"/>
      <c r="F84" s="60"/>
      <c r="G84" s="60"/>
      <c r="H84" s="60"/>
      <c r="I84" s="60"/>
      <c r="J84" s="58"/>
      <c r="K84" s="58"/>
      <c r="L84" s="58"/>
      <c r="M84" s="58"/>
    </row>
    <row r="85" spans="2:13" x14ac:dyDescent="0.2">
      <c r="B85" s="56"/>
      <c r="C85" s="58"/>
      <c r="D85" s="60"/>
      <c r="E85" s="60"/>
      <c r="F85" s="60"/>
      <c r="G85" s="60"/>
      <c r="H85" s="60"/>
      <c r="I85" s="60"/>
      <c r="J85" s="58"/>
      <c r="K85" s="58"/>
      <c r="L85" s="58"/>
      <c r="M85" s="58"/>
    </row>
    <row r="86" spans="2:13" x14ac:dyDescent="0.2">
      <c r="B86" s="56"/>
      <c r="C86" s="58"/>
      <c r="D86" s="60"/>
      <c r="E86" s="60"/>
      <c r="F86" s="60"/>
      <c r="G86" s="60"/>
      <c r="H86" s="60"/>
      <c r="I86" s="60"/>
      <c r="J86" s="58"/>
      <c r="K86" s="58"/>
      <c r="L86" s="58"/>
      <c r="M86" s="58"/>
    </row>
    <row r="87" spans="2:13" x14ac:dyDescent="0.2">
      <c r="B87" s="56"/>
      <c r="C87" s="58"/>
      <c r="D87" s="60"/>
      <c r="E87" s="60"/>
      <c r="F87" s="60"/>
      <c r="G87" s="60"/>
      <c r="H87" s="60"/>
      <c r="I87" s="60"/>
      <c r="J87" s="58"/>
      <c r="K87" s="58"/>
      <c r="L87" s="58"/>
      <c r="M87" s="58"/>
    </row>
    <row r="88" spans="2:13" x14ac:dyDescent="0.2">
      <c r="B88" s="56"/>
      <c r="C88" s="58"/>
      <c r="D88" s="60"/>
      <c r="E88" s="60"/>
      <c r="F88" s="60"/>
      <c r="G88" s="60"/>
      <c r="H88" s="60"/>
      <c r="I88" s="60"/>
      <c r="J88" s="58"/>
      <c r="K88" s="58"/>
      <c r="L88" s="58"/>
      <c r="M88" s="58"/>
    </row>
    <row r="89" spans="2:13" x14ac:dyDescent="0.2">
      <c r="B89" s="56"/>
      <c r="C89" s="58"/>
      <c r="D89" s="60"/>
      <c r="E89" s="60"/>
      <c r="F89" s="60"/>
      <c r="G89" s="60"/>
      <c r="H89" s="60"/>
      <c r="I89" s="60"/>
      <c r="J89" s="58"/>
      <c r="K89" s="58"/>
      <c r="L89" s="58"/>
      <c r="M89" s="58"/>
    </row>
    <row r="90" spans="2:13" x14ac:dyDescent="0.2">
      <c r="B90" s="56"/>
      <c r="C90" s="58"/>
      <c r="D90" s="60"/>
      <c r="E90" s="60"/>
      <c r="F90" s="60"/>
      <c r="G90" s="60"/>
      <c r="H90" s="60"/>
      <c r="I90" s="60"/>
      <c r="J90" s="58"/>
      <c r="K90" s="58"/>
      <c r="L90" s="58"/>
      <c r="M90" s="58"/>
    </row>
    <row r="91" spans="2:13" x14ac:dyDescent="0.2">
      <c r="L91" s="58"/>
      <c r="M91" s="58"/>
    </row>
    <row r="92" spans="2:13" x14ac:dyDescent="0.2">
      <c r="L92" s="58"/>
      <c r="M92" s="58"/>
    </row>
    <row r="93" spans="2:13" x14ac:dyDescent="0.2">
      <c r="L93" s="58"/>
      <c r="M93" s="58"/>
    </row>
    <row r="94" spans="2:13" x14ac:dyDescent="0.2">
      <c r="L94" s="58"/>
      <c r="M94" s="58"/>
    </row>
    <row r="95" spans="2:13" x14ac:dyDescent="0.2">
      <c r="L95" s="58"/>
      <c r="M95" s="58"/>
    </row>
  </sheetData>
  <mergeCells count="2">
    <mergeCell ref="C54:J54"/>
    <mergeCell ref="C18:F18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9"/>
  <dimension ref="B2:L99"/>
  <sheetViews>
    <sheetView workbookViewId="0"/>
  </sheetViews>
  <sheetFormatPr baseColWidth="10" defaultColWidth="8.83203125" defaultRowHeight="15" x14ac:dyDescent="0.2"/>
  <cols>
    <col min="1" max="1" width="3.83203125" customWidth="1"/>
    <col min="2" max="2" width="23" customWidth="1"/>
    <col min="3" max="4" width="9.6640625" customWidth="1"/>
    <col min="6" max="6" width="23" customWidth="1"/>
    <col min="7" max="8" width="9.6640625" customWidth="1"/>
    <col min="10" max="10" width="23" bestFit="1" customWidth="1"/>
  </cols>
  <sheetData>
    <row r="2" spans="2:12" ht="18" customHeight="1" x14ac:dyDescent="0.2">
      <c r="B2" s="299" t="s">
        <v>164</v>
      </c>
      <c r="C2" s="299"/>
      <c r="D2" s="299"/>
      <c r="F2" s="299" t="s">
        <v>165</v>
      </c>
      <c r="G2" s="299"/>
      <c r="H2" s="299"/>
      <c r="J2" s="299" t="s">
        <v>166</v>
      </c>
      <c r="K2" s="299"/>
      <c r="L2" s="299"/>
    </row>
    <row r="3" spans="2:12" x14ac:dyDescent="0.2">
      <c r="B3" s="82" t="s">
        <v>167</v>
      </c>
      <c r="C3" s="82" t="s">
        <v>168</v>
      </c>
      <c r="D3" s="83" t="s">
        <v>169</v>
      </c>
      <c r="F3" s="82" t="s">
        <v>167</v>
      </c>
      <c r="G3" s="82" t="s">
        <v>168</v>
      </c>
      <c r="H3" s="83" t="s">
        <v>169</v>
      </c>
      <c r="J3" s="82" t="s">
        <v>167</v>
      </c>
      <c r="K3" s="82" t="s">
        <v>168</v>
      </c>
      <c r="L3" s="83" t="s">
        <v>169</v>
      </c>
    </row>
    <row r="4" spans="2:12" x14ac:dyDescent="0.2">
      <c r="B4" s="72" t="s">
        <v>47</v>
      </c>
      <c r="C4" s="72" t="s">
        <v>78</v>
      </c>
      <c r="D4" s="73">
        <f>1633000000/114426</f>
        <v>14271.232062643106</v>
      </c>
      <c r="F4" s="72" t="s">
        <v>47</v>
      </c>
      <c r="G4" s="72" t="s">
        <v>78</v>
      </c>
      <c r="H4" s="74">
        <f>+'Grapes Margin - Baseline'!C7</f>
        <v>3000</v>
      </c>
      <c r="J4" s="72" t="s">
        <v>47</v>
      </c>
      <c r="K4" s="72" t="s">
        <v>78</v>
      </c>
      <c r="L4" s="74"/>
    </row>
    <row r="5" spans="2:12" x14ac:dyDescent="0.2">
      <c r="B5" s="79" t="s">
        <v>48</v>
      </c>
      <c r="C5" s="75" t="s">
        <v>38</v>
      </c>
      <c r="D5" s="74">
        <f>114426/58523</f>
        <v>1.9552312765921092</v>
      </c>
      <c r="F5" s="72" t="s">
        <v>48</v>
      </c>
      <c r="G5" s="72" t="s">
        <v>170</v>
      </c>
      <c r="H5" s="88">
        <f>+'Grapes Margin - Baseline'!F7</f>
        <v>15.4</v>
      </c>
      <c r="J5" s="72" t="s">
        <v>48</v>
      </c>
      <c r="K5" s="72" t="s">
        <v>170</v>
      </c>
      <c r="L5" s="88"/>
    </row>
    <row r="6" spans="2:12" x14ac:dyDescent="0.2">
      <c r="B6" s="76" t="s">
        <v>171</v>
      </c>
      <c r="C6" s="63"/>
      <c r="D6" s="80">
        <f>+D4*D5</f>
        <v>27903.559284383919</v>
      </c>
      <c r="F6" s="76" t="s">
        <v>171</v>
      </c>
      <c r="G6" s="63"/>
      <c r="H6" s="80">
        <f>+H4*H5</f>
        <v>46200</v>
      </c>
      <c r="J6" s="76" t="s">
        <v>171</v>
      </c>
      <c r="K6" s="63"/>
      <c r="L6" s="80">
        <f>+L4*L5</f>
        <v>0</v>
      </c>
    </row>
    <row r="7" spans="2:12" x14ac:dyDescent="0.2">
      <c r="B7" s="72" t="s">
        <v>10</v>
      </c>
      <c r="C7" s="72" t="s">
        <v>37</v>
      </c>
      <c r="D7" s="74">
        <f>+'Almonds Margin - Baseline'!J5</f>
        <v>3033.0720000000001</v>
      </c>
      <c r="F7" s="72" t="s">
        <v>10</v>
      </c>
      <c r="G7" s="72" t="s">
        <v>37</v>
      </c>
      <c r="H7" s="74">
        <f>+'Grapes Margin - Baseline'!M7</f>
        <v>435.99999999999994</v>
      </c>
      <c r="J7" s="72" t="s">
        <v>10</v>
      </c>
      <c r="K7" s="72" t="s">
        <v>37</v>
      </c>
      <c r="L7" s="74"/>
    </row>
    <row r="8" spans="2:12" x14ac:dyDescent="0.2">
      <c r="B8" s="72" t="s">
        <v>11</v>
      </c>
      <c r="C8" s="72" t="s">
        <v>37</v>
      </c>
      <c r="D8" s="74">
        <f>+'Almonds Margin - Baseline'!N5</f>
        <v>133.19999999999999</v>
      </c>
      <c r="F8" s="72" t="s">
        <v>11</v>
      </c>
      <c r="G8" s="72" t="s">
        <v>37</v>
      </c>
      <c r="H8" s="74">
        <f>+'Grapes Margin - Baseline'!Q7</f>
        <v>200</v>
      </c>
      <c r="J8" s="72" t="s">
        <v>11</v>
      </c>
      <c r="K8" s="72" t="s">
        <v>37</v>
      </c>
      <c r="L8" s="74"/>
    </row>
    <row r="9" spans="2:12" x14ac:dyDescent="0.2">
      <c r="B9" s="72" t="s">
        <v>12</v>
      </c>
      <c r="C9" s="72" t="s">
        <v>37</v>
      </c>
      <c r="D9" s="74">
        <f>+'Almonds Margin - Baseline'!R5</f>
        <v>145.84</v>
      </c>
      <c r="F9" s="72" t="s">
        <v>12</v>
      </c>
      <c r="G9" s="72" t="s">
        <v>37</v>
      </c>
      <c r="H9" s="74">
        <f>+'Grapes Margin - Baseline'!U7</f>
        <v>100</v>
      </c>
      <c r="J9" s="72" t="s">
        <v>12</v>
      </c>
      <c r="K9" s="72" t="s">
        <v>37</v>
      </c>
      <c r="L9" s="74"/>
    </row>
    <row r="10" spans="2:12" x14ac:dyDescent="0.2">
      <c r="B10" s="72" t="s">
        <v>13</v>
      </c>
      <c r="C10" s="72" t="s">
        <v>37</v>
      </c>
      <c r="D10" s="74">
        <f>+'Almonds Margin - Baseline'!V5</f>
        <v>34.1</v>
      </c>
      <c r="F10" s="72" t="s">
        <v>13</v>
      </c>
      <c r="G10" s="72" t="s">
        <v>37</v>
      </c>
      <c r="H10" s="74">
        <f>+'Grapes Margin - Baseline'!Y7</f>
        <v>1200</v>
      </c>
      <c r="J10" s="72" t="s">
        <v>13</v>
      </c>
      <c r="K10" s="72" t="s">
        <v>37</v>
      </c>
      <c r="L10" s="74"/>
    </row>
    <row r="11" spans="2:12" x14ac:dyDescent="0.2">
      <c r="B11" s="72" t="s">
        <v>14</v>
      </c>
      <c r="C11" s="72" t="s">
        <v>37</v>
      </c>
      <c r="D11" s="74">
        <f>+'Almonds Margin - Baseline'!Z5</f>
        <v>0</v>
      </c>
      <c r="F11" s="72" t="s">
        <v>15</v>
      </c>
      <c r="G11" s="72" t="s">
        <v>37</v>
      </c>
      <c r="H11" s="74">
        <f>+'Grapes Margin - Baseline'!AB7</f>
        <v>1078</v>
      </c>
      <c r="J11" s="72" t="s">
        <v>172</v>
      </c>
      <c r="K11" s="72" t="s">
        <v>37</v>
      </c>
      <c r="L11" s="74"/>
    </row>
    <row r="12" spans="2:12" x14ac:dyDescent="0.2">
      <c r="B12" s="72" t="s">
        <v>15</v>
      </c>
      <c r="C12" s="72" t="s">
        <v>37</v>
      </c>
      <c r="D12" s="74">
        <f>+'Almonds Margin - Baseline'!AC5</f>
        <v>7.4399999999999995</v>
      </c>
      <c r="F12" s="72" t="s">
        <v>173</v>
      </c>
      <c r="G12" s="72" t="s">
        <v>37</v>
      </c>
      <c r="H12" s="74">
        <f>+'Grapes Margin - Baseline'!AI7</f>
        <v>2400</v>
      </c>
      <c r="J12" s="72" t="s">
        <v>15</v>
      </c>
      <c r="K12" s="72" t="s">
        <v>37</v>
      </c>
      <c r="L12" s="74"/>
    </row>
    <row r="13" spans="2:12" x14ac:dyDescent="0.2">
      <c r="B13" s="72" t="s">
        <v>173</v>
      </c>
      <c r="C13" s="72" t="s">
        <v>37</v>
      </c>
      <c r="D13" s="74">
        <f>+'Almonds Margin - Baseline'!AG5</f>
        <v>6446.4000000000005</v>
      </c>
      <c r="F13" s="72" t="s">
        <v>174</v>
      </c>
      <c r="G13" s="72" t="s">
        <v>37</v>
      </c>
      <c r="H13" s="74">
        <f>+'Grapes Margin - Baseline'!AF7</f>
        <v>4620</v>
      </c>
      <c r="J13" s="72" t="s">
        <v>173</v>
      </c>
      <c r="K13" s="72" t="s">
        <v>37</v>
      </c>
      <c r="L13" s="74"/>
    </row>
    <row r="14" spans="2:12" x14ac:dyDescent="0.2">
      <c r="B14" s="72" t="s">
        <v>17</v>
      </c>
      <c r="C14" s="72" t="s">
        <v>37</v>
      </c>
      <c r="D14" s="74">
        <f>+'Almonds Margin - Baseline'!AK5</f>
        <v>1386</v>
      </c>
      <c r="F14" s="72" t="s">
        <v>17</v>
      </c>
      <c r="G14" s="72" t="s">
        <v>37</v>
      </c>
      <c r="H14" s="74">
        <f>+'Grapes Margin - Baseline'!AN7+'Grapes Margin - Baseline'!AR7</f>
        <v>859.5</v>
      </c>
      <c r="J14" s="72" t="s">
        <v>174</v>
      </c>
      <c r="K14" s="72" t="s">
        <v>37</v>
      </c>
      <c r="L14" s="74"/>
    </row>
    <row r="15" spans="2:12" x14ac:dyDescent="0.2">
      <c r="B15" s="72" t="s">
        <v>175</v>
      </c>
      <c r="C15" s="72" t="s">
        <v>37</v>
      </c>
      <c r="D15" s="74">
        <f>+'Almonds Margin - Baseline'!AO5</f>
        <v>900</v>
      </c>
      <c r="F15" s="72" t="s">
        <v>176</v>
      </c>
      <c r="G15" s="72" t="s">
        <v>37</v>
      </c>
      <c r="H15" s="74">
        <f>+'Grapes Margin - Baseline'!AU7</f>
        <v>1350</v>
      </c>
      <c r="J15" s="72" t="s">
        <v>17</v>
      </c>
      <c r="K15" s="72" t="s">
        <v>37</v>
      </c>
      <c r="L15" s="74"/>
    </row>
    <row r="16" spans="2:12" x14ac:dyDescent="0.2">
      <c r="B16" s="72" t="s">
        <v>19</v>
      </c>
      <c r="C16" s="72" t="s">
        <v>37</v>
      </c>
      <c r="D16" s="74">
        <f>+'Almonds Margin - Baseline'!AS5</f>
        <v>0</v>
      </c>
      <c r="F16" s="72" t="s">
        <v>177</v>
      </c>
      <c r="G16" s="72" t="s">
        <v>37</v>
      </c>
      <c r="H16" s="74">
        <f>+'Grapes Margin - Baseline'!AZ7</f>
        <v>5197.5</v>
      </c>
      <c r="J16" s="72" t="s">
        <v>176</v>
      </c>
      <c r="K16" s="72" t="s">
        <v>37</v>
      </c>
      <c r="L16" s="74"/>
    </row>
    <row r="17" spans="2:12" x14ac:dyDescent="0.2">
      <c r="B17" s="72" t="s">
        <v>20</v>
      </c>
      <c r="C17" s="72" t="s">
        <v>37</v>
      </c>
      <c r="D17" s="74">
        <f>+'Almonds Margin - Baseline'!AV5</f>
        <v>0</v>
      </c>
      <c r="F17" s="72" t="s">
        <v>23</v>
      </c>
      <c r="G17" s="72" t="s">
        <v>37</v>
      </c>
      <c r="H17" s="87">
        <f>+'Grapes Margin - Baseline'!BB7</f>
        <v>154</v>
      </c>
      <c r="J17" s="72" t="s">
        <v>177</v>
      </c>
      <c r="K17" s="72" t="s">
        <v>37</v>
      </c>
      <c r="L17" s="74"/>
    </row>
    <row r="18" spans="2:12" ht="29" x14ac:dyDescent="0.2">
      <c r="B18" s="84" t="s">
        <v>178</v>
      </c>
      <c r="C18" s="85" t="s">
        <v>37</v>
      </c>
      <c r="D18" s="86">
        <f>+'Almonds Margin - Baseline'!AY5+'Almonds Margin - Baseline'!BB5</f>
        <v>0</v>
      </c>
      <c r="F18" s="76" t="s">
        <v>179</v>
      </c>
      <c r="G18" s="63"/>
      <c r="H18" s="80">
        <f>+SUM(H7:H17)</f>
        <v>17595</v>
      </c>
      <c r="J18" s="72" t="s">
        <v>23</v>
      </c>
      <c r="K18" s="72" t="s">
        <v>37</v>
      </c>
      <c r="L18" s="87"/>
    </row>
    <row r="19" spans="2:12" x14ac:dyDescent="0.2">
      <c r="B19" s="72" t="s">
        <v>180</v>
      </c>
      <c r="C19" s="72" t="s">
        <v>37</v>
      </c>
      <c r="D19" s="87">
        <f>+'Almonds Margin - Baseline'!BD5+'Almonds Margin - Baseline'!BF5</f>
        <v>1974.08</v>
      </c>
      <c r="F19" s="77" t="s">
        <v>181</v>
      </c>
      <c r="G19" s="78"/>
      <c r="H19" s="81">
        <f>+H6-H18</f>
        <v>28605</v>
      </c>
      <c r="J19" s="76" t="s">
        <v>179</v>
      </c>
      <c r="K19" s="63"/>
      <c r="L19" s="80">
        <f>+SUM(L7:L18)</f>
        <v>0</v>
      </c>
    </row>
    <row r="20" spans="2:12" x14ac:dyDescent="0.2">
      <c r="B20" s="76" t="s">
        <v>179</v>
      </c>
      <c r="C20" s="63"/>
      <c r="D20" s="80">
        <f>+SUM(D7:D19)</f>
        <v>14060.132</v>
      </c>
      <c r="F20" s="300" t="s">
        <v>182</v>
      </c>
      <c r="G20" s="300"/>
      <c r="H20" s="300"/>
      <c r="J20" s="77" t="s">
        <v>181</v>
      </c>
      <c r="K20" s="78"/>
      <c r="L20" s="81">
        <f>+L6-L19</f>
        <v>0</v>
      </c>
    </row>
    <row r="21" spans="2:12" x14ac:dyDescent="0.2">
      <c r="B21" s="77" t="s">
        <v>181</v>
      </c>
      <c r="C21" s="78"/>
      <c r="D21" s="81">
        <f>+D6-D20</f>
        <v>13843.427284383919</v>
      </c>
      <c r="F21" s="301"/>
      <c r="G21" s="301"/>
      <c r="H21" s="301"/>
      <c r="J21" s="300" t="s">
        <v>182</v>
      </c>
      <c r="K21" s="300"/>
      <c r="L21" s="300"/>
    </row>
    <row r="22" spans="2:12" x14ac:dyDescent="0.2">
      <c r="B22" s="300" t="s">
        <v>183</v>
      </c>
      <c r="C22" s="300"/>
      <c r="D22" s="300"/>
      <c r="F22" s="301"/>
      <c r="G22" s="301"/>
      <c r="H22" s="301"/>
      <c r="J22" s="301"/>
      <c r="K22" s="301"/>
      <c r="L22" s="301"/>
    </row>
    <row r="23" spans="2:12" ht="15" customHeight="1" x14ac:dyDescent="0.2">
      <c r="B23" s="301"/>
      <c r="C23" s="301"/>
      <c r="D23" s="301"/>
      <c r="F23" s="301"/>
      <c r="G23" s="301"/>
      <c r="H23" s="301"/>
      <c r="J23" s="301"/>
      <c r="K23" s="301"/>
      <c r="L23" s="301"/>
    </row>
    <row r="24" spans="2:12" x14ac:dyDescent="0.2">
      <c r="B24" s="301"/>
      <c r="C24" s="301"/>
      <c r="D24" s="301"/>
      <c r="F24" s="301"/>
      <c r="G24" s="301"/>
      <c r="H24" s="301"/>
      <c r="J24" s="301"/>
      <c r="K24" s="301"/>
      <c r="L24" s="301"/>
    </row>
    <row r="25" spans="2:12" x14ac:dyDescent="0.2">
      <c r="B25" s="301"/>
      <c r="C25" s="301"/>
      <c r="D25" s="301"/>
      <c r="F25" s="301"/>
      <c r="G25" s="301"/>
      <c r="H25" s="301"/>
      <c r="J25" s="301"/>
      <c r="K25" s="301"/>
      <c r="L25" s="301"/>
    </row>
    <row r="26" spans="2:12" x14ac:dyDescent="0.2">
      <c r="F26" s="301"/>
      <c r="G26" s="301"/>
      <c r="H26" s="301"/>
      <c r="J26" s="301"/>
      <c r="K26" s="301"/>
      <c r="L26" s="301"/>
    </row>
    <row r="27" spans="2:12" x14ac:dyDescent="0.2">
      <c r="J27" s="301"/>
      <c r="K27" s="301"/>
      <c r="L27" s="301"/>
    </row>
    <row r="28" spans="2:12" ht="18" customHeight="1" x14ac:dyDescent="0.2"/>
    <row r="46" ht="15" customHeight="1" x14ac:dyDescent="0.2"/>
    <row r="67" ht="30" customHeight="1" x14ac:dyDescent="0.2"/>
    <row r="71" ht="15" customHeight="1" x14ac:dyDescent="0.2"/>
    <row r="99" ht="15" customHeight="1" x14ac:dyDescent="0.2"/>
  </sheetData>
  <mergeCells count="6">
    <mergeCell ref="B2:D2"/>
    <mergeCell ref="B22:D25"/>
    <mergeCell ref="F2:H2"/>
    <mergeCell ref="F20:H26"/>
    <mergeCell ref="J2:L2"/>
    <mergeCell ref="J21:L27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0"/>
  <dimension ref="B2:G89"/>
  <sheetViews>
    <sheetView workbookViewId="0"/>
  </sheetViews>
  <sheetFormatPr baseColWidth="10" defaultColWidth="8.83203125" defaultRowHeight="15" x14ac:dyDescent="0.2"/>
  <cols>
    <col min="1" max="1" width="3.83203125" customWidth="1"/>
    <col min="2" max="2" width="16.1640625" customWidth="1"/>
    <col min="3" max="3" width="13.5" customWidth="1"/>
    <col min="4" max="4" width="78.33203125" customWidth="1"/>
  </cols>
  <sheetData>
    <row r="2" spans="2:7" ht="18" customHeight="1" x14ac:dyDescent="0.2">
      <c r="B2" s="299" t="s">
        <v>184</v>
      </c>
      <c r="C2" s="299"/>
      <c r="D2" s="299"/>
      <c r="G2" s="94"/>
    </row>
    <row r="3" spans="2:7" s="18" customFormat="1" ht="18" customHeight="1" x14ac:dyDescent="0.2">
      <c r="B3" s="97" t="s">
        <v>185</v>
      </c>
      <c r="C3" s="97"/>
      <c r="D3" s="97"/>
    </row>
    <row r="4" spans="2:7" x14ac:dyDescent="0.2">
      <c r="B4" s="91" t="s">
        <v>186</v>
      </c>
      <c r="C4" s="91"/>
      <c r="D4" s="72" t="s">
        <v>187</v>
      </c>
    </row>
    <row r="5" spans="2:7" x14ac:dyDescent="0.2">
      <c r="B5" s="92" t="s">
        <v>188</v>
      </c>
      <c r="C5" s="92"/>
      <c r="D5" s="72" t="s">
        <v>187</v>
      </c>
    </row>
    <row r="6" spans="2:7" x14ac:dyDescent="0.2">
      <c r="B6" s="92" t="s">
        <v>189</v>
      </c>
      <c r="C6" s="92"/>
      <c r="D6" s="75" t="s">
        <v>190</v>
      </c>
    </row>
    <row r="7" spans="2:7" x14ac:dyDescent="0.2">
      <c r="B7" s="92" t="s">
        <v>191</v>
      </c>
      <c r="C7" s="92"/>
      <c r="D7" s="72" t="s">
        <v>187</v>
      </c>
    </row>
    <row r="8" spans="2:7" x14ac:dyDescent="0.2">
      <c r="B8" s="92" t="s">
        <v>192</v>
      </c>
      <c r="C8" s="92"/>
      <c r="D8" s="75" t="s">
        <v>193</v>
      </c>
    </row>
    <row r="9" spans="2:7" x14ac:dyDescent="0.2">
      <c r="B9" s="92" t="s">
        <v>41</v>
      </c>
      <c r="C9" s="92"/>
      <c r="D9" s="75" t="s">
        <v>194</v>
      </c>
    </row>
    <row r="10" spans="2:7" x14ac:dyDescent="0.2">
      <c r="B10" s="92" t="s">
        <v>195</v>
      </c>
      <c r="C10" s="92"/>
      <c r="D10" s="75" t="s">
        <v>196</v>
      </c>
    </row>
    <row r="11" spans="2:7" s="18" customFormat="1" ht="18" customHeight="1" x14ac:dyDescent="0.2">
      <c r="B11" s="97" t="s">
        <v>197</v>
      </c>
      <c r="C11" s="97"/>
      <c r="D11" s="97"/>
    </row>
    <row r="12" spans="2:7" x14ac:dyDescent="0.2">
      <c r="B12" s="93" t="s">
        <v>45</v>
      </c>
      <c r="C12" s="93"/>
      <c r="D12" s="63"/>
    </row>
    <row r="13" spans="2:7" x14ac:dyDescent="0.2">
      <c r="B13" s="89" t="s">
        <v>0</v>
      </c>
      <c r="C13" s="89" t="s">
        <v>198</v>
      </c>
      <c r="D13" s="72" t="s">
        <v>199</v>
      </c>
    </row>
    <row r="14" spans="2:7" x14ac:dyDescent="0.2">
      <c r="B14" s="90"/>
      <c r="C14" s="90" t="s">
        <v>200</v>
      </c>
      <c r="D14" s="75" t="s">
        <v>201</v>
      </c>
    </row>
    <row r="15" spans="2:7" x14ac:dyDescent="0.2">
      <c r="B15" s="90" t="s">
        <v>1</v>
      </c>
      <c r="C15" s="90"/>
      <c r="D15" s="302" t="s">
        <v>202</v>
      </c>
    </row>
    <row r="16" spans="2:7" x14ac:dyDescent="0.2">
      <c r="B16" s="96"/>
      <c r="C16" s="96"/>
      <c r="D16" s="304"/>
    </row>
    <row r="17" spans="2:4" x14ac:dyDescent="0.2">
      <c r="B17" s="93" t="s">
        <v>71</v>
      </c>
      <c r="C17" s="93"/>
      <c r="D17" s="63"/>
    </row>
    <row r="18" spans="2:4" x14ac:dyDescent="0.2">
      <c r="B18" s="89" t="s">
        <v>0</v>
      </c>
      <c r="C18" s="89" t="s">
        <v>198</v>
      </c>
      <c r="D18" s="72" t="s">
        <v>203</v>
      </c>
    </row>
    <row r="19" spans="2:4" x14ac:dyDescent="0.2">
      <c r="B19" s="90"/>
      <c r="C19" s="90" t="s">
        <v>200</v>
      </c>
      <c r="D19" s="75" t="s">
        <v>204</v>
      </c>
    </row>
    <row r="20" spans="2:4" ht="15" customHeight="1" x14ac:dyDescent="0.2">
      <c r="B20" s="90" t="s">
        <v>1</v>
      </c>
      <c r="C20" s="90"/>
      <c r="D20" s="302" t="s">
        <v>202</v>
      </c>
    </row>
    <row r="21" spans="2:4" ht="15" customHeight="1" x14ac:dyDescent="0.2">
      <c r="B21" s="96"/>
      <c r="C21" s="96"/>
      <c r="D21" s="304"/>
    </row>
    <row r="22" spans="2:4" x14ac:dyDescent="0.2">
      <c r="B22" s="93" t="s">
        <v>205</v>
      </c>
      <c r="C22" s="93"/>
      <c r="D22" s="63"/>
    </row>
    <row r="23" spans="2:4" ht="32" x14ac:dyDescent="0.2">
      <c r="B23" s="99" t="s">
        <v>0</v>
      </c>
      <c r="C23" s="99" t="s">
        <v>198</v>
      </c>
      <c r="D23" s="98" t="s">
        <v>206</v>
      </c>
    </row>
    <row r="24" spans="2:4" x14ac:dyDescent="0.2">
      <c r="B24" s="90"/>
      <c r="C24" s="90" t="s">
        <v>200</v>
      </c>
      <c r="D24" s="75" t="s">
        <v>207</v>
      </c>
    </row>
    <row r="25" spans="2:4" x14ac:dyDescent="0.2">
      <c r="B25" s="90" t="s">
        <v>1</v>
      </c>
      <c r="C25" s="90"/>
      <c r="D25" s="75" t="s">
        <v>207</v>
      </c>
    </row>
    <row r="26" spans="2:4" x14ac:dyDescent="0.2">
      <c r="B26" s="93" t="s">
        <v>208</v>
      </c>
      <c r="C26" s="93"/>
      <c r="D26" s="63"/>
    </row>
    <row r="27" spans="2:4" x14ac:dyDescent="0.2">
      <c r="B27" s="89" t="s">
        <v>0</v>
      </c>
      <c r="C27" s="89"/>
      <c r="D27" s="72" t="s">
        <v>209</v>
      </c>
    </row>
    <row r="28" spans="2:4" x14ac:dyDescent="0.2">
      <c r="B28" s="90" t="s">
        <v>1</v>
      </c>
      <c r="C28" s="90"/>
      <c r="D28" s="302" t="s">
        <v>210</v>
      </c>
    </row>
    <row r="29" spans="2:4" x14ac:dyDescent="0.2">
      <c r="B29" s="96"/>
      <c r="C29" s="96"/>
      <c r="D29" s="304"/>
    </row>
    <row r="30" spans="2:4" x14ac:dyDescent="0.2">
      <c r="B30" s="93" t="s">
        <v>211</v>
      </c>
      <c r="C30" s="93"/>
      <c r="D30" s="63"/>
    </row>
    <row r="31" spans="2:4" x14ac:dyDescent="0.2">
      <c r="B31" s="89" t="s">
        <v>0</v>
      </c>
      <c r="C31" s="89"/>
      <c r="D31" s="72" t="s">
        <v>212</v>
      </c>
    </row>
    <row r="32" spans="2:4" x14ac:dyDescent="0.2">
      <c r="B32" s="90" t="s">
        <v>1</v>
      </c>
      <c r="C32" s="90"/>
      <c r="D32" s="302" t="s">
        <v>210</v>
      </c>
    </row>
    <row r="33" spans="2:4" x14ac:dyDescent="0.2">
      <c r="B33" s="96"/>
      <c r="C33" s="96"/>
      <c r="D33" s="304"/>
    </row>
    <row r="34" spans="2:4" x14ac:dyDescent="0.2">
      <c r="B34" s="93" t="s">
        <v>213</v>
      </c>
      <c r="C34" s="93"/>
      <c r="D34" s="63"/>
    </row>
    <row r="35" spans="2:4" x14ac:dyDescent="0.2">
      <c r="B35" s="89" t="s">
        <v>0</v>
      </c>
      <c r="C35" s="89"/>
      <c r="D35" s="72" t="s">
        <v>212</v>
      </c>
    </row>
    <row r="36" spans="2:4" x14ac:dyDescent="0.2">
      <c r="B36" s="90" t="s">
        <v>1</v>
      </c>
      <c r="C36" s="90"/>
      <c r="D36" s="302" t="s">
        <v>210</v>
      </c>
    </row>
    <row r="37" spans="2:4" x14ac:dyDescent="0.2">
      <c r="B37" s="95"/>
      <c r="C37" s="95"/>
      <c r="D37" s="303"/>
    </row>
    <row r="57" ht="30" customHeight="1" x14ac:dyDescent="0.2"/>
    <row r="61" ht="15" customHeight="1" x14ac:dyDescent="0.2"/>
    <row r="89" ht="15" customHeight="1" x14ac:dyDescent="0.2"/>
  </sheetData>
  <mergeCells count="6">
    <mergeCell ref="D36:D37"/>
    <mergeCell ref="B2:D2"/>
    <mergeCell ref="D28:D29"/>
    <mergeCell ref="D15:D16"/>
    <mergeCell ref="D20:D21"/>
    <mergeCell ref="D32:D3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D643-2389-45A4-B4DB-D759AAD5F189}">
  <sheetPr codeName="Sheet21"/>
  <dimension ref="B3:B4"/>
  <sheetViews>
    <sheetView workbookViewId="0"/>
  </sheetViews>
  <sheetFormatPr baseColWidth="10" defaultColWidth="8.83203125" defaultRowHeight="15" x14ac:dyDescent="0.2"/>
  <sheetData>
    <row r="3" spans="2:2" x14ac:dyDescent="0.2">
      <c r="B3" t="s">
        <v>149</v>
      </c>
    </row>
    <row r="4" spans="2:2" x14ac:dyDescent="0.2">
      <c r="B4" t="s">
        <v>214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07d8113-1d44-46cb-baa5-a742d0650dfc" xsi:nil="true"/>
    <lcf76f155ced4ddcb4097134ff3c332f xmlns="c6404116-75c9-4b11-a9be-a930aa3bc70e">
      <Terms xmlns="http://schemas.microsoft.com/office/infopath/2007/PartnerControls"/>
    </lcf76f155ced4ddcb4097134ff3c332f>
    <SharedWithUsers xmlns="850507e9-f5a8-4cc4-a92c-20ca0e222cd2">
      <UserInfo>
        <DisplayName>Lucia Rochford</DisplayName>
        <AccountId>172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7671E04B0F374F9D01129F9DC250E1" ma:contentTypeVersion="18" ma:contentTypeDescription="Create a new document." ma:contentTypeScope="" ma:versionID="429c0227f74737edfa6df646e68fbc8d">
  <xsd:schema xmlns:xsd="http://www.w3.org/2001/XMLSchema" xmlns:xs="http://www.w3.org/2001/XMLSchema" xmlns:p="http://schemas.microsoft.com/office/2006/metadata/properties" xmlns:ns2="c6404116-75c9-4b11-a9be-a930aa3bc70e" xmlns:ns3="850507e9-f5a8-4cc4-a92c-20ca0e222cd2" xmlns:ns4="f07d8113-1d44-46cb-baa5-a742d0650dfc" targetNamespace="http://schemas.microsoft.com/office/2006/metadata/properties" ma:root="true" ma:fieldsID="2acda254a154f3141da473e367bb7d5b" ns2:_="" ns3:_="" ns4:_="">
    <xsd:import namespace="c6404116-75c9-4b11-a9be-a930aa3bc70e"/>
    <xsd:import namespace="850507e9-f5a8-4cc4-a92c-20ca0e222cd2"/>
    <xsd:import namespace="f07d8113-1d44-46cb-baa5-a742d0650d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04116-75c9-4b11-a9be-a930aa3bc7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db163b37-248a-4bdb-8038-6e8df1cc47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0507e9-f5a8-4cc4-a92c-20ca0e222cd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7d8113-1d44-46cb-baa5-a742d0650df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eb65e4f1-cac9-46cb-bd37-c8b08aa227a9}" ma:internalName="TaxCatchAll" ma:showField="CatchAllData" ma:web="850507e9-f5a8-4cc4-a92c-20ca0e222c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A27337-9399-4CC0-88DF-BF7397F45DCC}">
  <ds:schemaRefs>
    <ds:schemaRef ds:uri="http://schemas.microsoft.com/office/2006/metadata/properties"/>
    <ds:schemaRef ds:uri="http://schemas.microsoft.com/office/infopath/2007/PartnerControls"/>
    <ds:schemaRef ds:uri="f07d8113-1d44-46cb-baa5-a742d0650dfc"/>
    <ds:schemaRef ds:uri="c6404116-75c9-4b11-a9be-a930aa3bc70e"/>
    <ds:schemaRef ds:uri="850507e9-f5a8-4cc4-a92c-20ca0e222cd2"/>
  </ds:schemaRefs>
</ds:datastoreItem>
</file>

<file path=customXml/itemProps2.xml><?xml version="1.0" encoding="utf-8"?>
<ds:datastoreItem xmlns:ds="http://schemas.openxmlformats.org/officeDocument/2006/customXml" ds:itemID="{B94575AA-3FFA-4041-A1B3-F6615B5DC9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35B047-F360-43E2-9172-896626A4D3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404116-75c9-4b11-a9be-a930aa3bc70e"/>
    <ds:schemaRef ds:uri="850507e9-f5a8-4cc4-a92c-20ca0e222cd2"/>
    <ds:schemaRef ds:uri="f07d8113-1d44-46cb-baa5-a742d0650d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Almonds Margin - Baseline</vt:lpstr>
      <vt:lpstr>Almonds Margin - Alter.Ex.Rate</vt:lpstr>
      <vt:lpstr>Almonds Margin - Alternative</vt:lpstr>
      <vt:lpstr>Grapes Margin - Baseline</vt:lpstr>
      <vt:lpstr>Grapes Margin - Alter.Ex.Rate</vt:lpstr>
      <vt:lpstr>Grapes Margin - Alternative</vt:lpstr>
      <vt:lpstr>Citrus Margin ORAG - Baseline</vt:lpstr>
      <vt:lpstr>Citrus Margin ORAG- Alternative</vt:lpstr>
      <vt:lpstr>Citrus Margin MAND - Baseline</vt:lpstr>
      <vt:lpstr>Citrus Margin MAND- Alternative</vt:lpstr>
      <vt:lpstr>graphs</vt:lpstr>
      <vt:lpstr>Citrus Margin - Alter.Ex.Ra</vt:lpstr>
      <vt:lpstr>Main Variables</vt:lpstr>
      <vt:lpstr>Introduction</vt:lpstr>
      <vt:lpstr>Almonds</vt:lpstr>
      <vt:lpstr>Grapes</vt:lpstr>
      <vt:lpstr>Oranges</vt:lpstr>
      <vt:lpstr>Mandarins</vt:lpstr>
      <vt:lpstr>Compiled Results</vt:lpstr>
      <vt:lpstr>Assumptions</vt:lpstr>
      <vt:lpstr>Data Sources</vt:lpstr>
      <vt:lpstr>Data List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 Borges</dc:creator>
  <cp:keywords/>
  <dc:description/>
  <cp:lastModifiedBy>Monique Marais</cp:lastModifiedBy>
  <cp:revision/>
  <dcterms:created xsi:type="dcterms:W3CDTF">2017-07-21T23:15:15Z</dcterms:created>
  <dcterms:modified xsi:type="dcterms:W3CDTF">2024-04-18T05:05:36Z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8c110b-b617-46b6-88ee-e4ede41881ff_Enabled">
    <vt:lpwstr>true</vt:lpwstr>
  </property>
  <property fmtid="{D5CDD505-2E9C-101B-9397-08002B2CF9AE}" pid="3" name="MSIP_Label_518c110b-b617-46b6-88ee-e4ede41881ff_SetDate">
    <vt:lpwstr>2023-06-08T00:44:08Z</vt:lpwstr>
  </property>
  <property fmtid="{D5CDD505-2E9C-101B-9397-08002B2CF9AE}" pid="4" name="MSIP_Label_518c110b-b617-46b6-88ee-e4ede41881ff_Method">
    <vt:lpwstr>Privileged</vt:lpwstr>
  </property>
  <property fmtid="{D5CDD505-2E9C-101B-9397-08002B2CF9AE}" pid="5" name="MSIP_Label_518c110b-b617-46b6-88ee-e4ede41881ff_Name">
    <vt:lpwstr>Public</vt:lpwstr>
  </property>
  <property fmtid="{D5CDD505-2E9C-101B-9397-08002B2CF9AE}" pid="6" name="MSIP_Label_518c110b-b617-46b6-88ee-e4ede41881ff_SiteId">
    <vt:lpwstr>d02378ec-1688-46d5-8540-1c28b5f470f6</vt:lpwstr>
  </property>
  <property fmtid="{D5CDD505-2E9C-101B-9397-08002B2CF9AE}" pid="7" name="MSIP_Label_518c110b-b617-46b6-88ee-e4ede41881ff_ActionId">
    <vt:lpwstr>8edb9315-bb71-4d90-a666-d2b9d6833441</vt:lpwstr>
  </property>
  <property fmtid="{D5CDD505-2E9C-101B-9397-08002B2CF9AE}" pid="8" name="MSIP_Label_518c110b-b617-46b6-88ee-e4ede41881ff_ContentBits">
    <vt:lpwstr>0</vt:lpwstr>
  </property>
  <property fmtid="{D5CDD505-2E9C-101B-9397-08002B2CF9AE}" pid="9" name="ContentTypeId">
    <vt:lpwstr>0x010100647671E04B0F374F9D01129F9DC250E1</vt:lpwstr>
  </property>
  <property fmtid="{D5CDD505-2E9C-101B-9397-08002B2CF9AE}" pid="10" name="MediaServiceImageTags">
    <vt:lpwstr/>
  </property>
</Properties>
</file>